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G:\Verksamhet\58_Restaurering\580_Övergripande\5808_Extern_intern_info\LIFE Rich Waters\Action C15\Projekt 3 utredning uppföljning fiskvägar\rapporter\Re_ LIFE rapporter\"/>
    </mc:Choice>
  </mc:AlternateContent>
  <xr:revisionPtr revIDLastSave="0" documentId="13_ncr:1_{D65ACE09-D716-4BFC-8495-214E6B781B75}" xr6:coauthVersionLast="47" xr6:coauthVersionMax="47" xr10:uidLastSave="{00000000-0000-0000-0000-000000000000}"/>
  <bookViews>
    <workbookView xWindow="-120" yWindow="-120" windowWidth="57840" windowHeight="23520" xr2:uid="{BEFF53BA-3BAF-4560-BEFA-9C096EE82F82}"/>
  </bookViews>
  <sheets>
    <sheet name="Uträkning" sheetId="1" r:id="rId1"/>
    <sheet name="Schablonuträkningar" sheetId="9" r:id="rId2"/>
    <sheet name="Miljöåtgärder kostnader" sheetId="2" r:id="rId3"/>
    <sheet name="Drift och underhåll" sheetId="6" r:id="rId4"/>
    <sheet name="Förnyelsekostnad" sheetId="7" r:id="rId5"/>
    <sheet name="Produktionsintäkter" sheetId="8" r:id="rId6"/>
    <sheet name="Figurdata" sheetId="10" r:id="rId7"/>
  </sheets>
  <definedNames>
    <definedName name="_xlnm.Print_Area" localSheetId="0">Uträkning!$B$1:$H$77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9" l="1"/>
  <c r="C48" i="1"/>
  <c r="C41" i="1"/>
  <c r="C26" i="2"/>
  <c r="D5" i="9"/>
  <c r="D6" i="9" s="1"/>
  <c r="D7" i="9" s="1"/>
  <c r="C60" i="1"/>
  <c r="G4" i="10"/>
  <c r="D36" i="1" l="1"/>
  <c r="D33" i="9"/>
  <c r="D40" i="1" s="1"/>
  <c r="D36" i="9" l="1"/>
  <c r="C24" i="1"/>
  <c r="C37" i="1"/>
  <c r="B24" i="8"/>
  <c r="B23" i="8" s="1"/>
  <c r="E3" i="8"/>
  <c r="E4" i="8"/>
  <c r="E5" i="8"/>
  <c r="E6" i="8"/>
  <c r="E7" i="8"/>
  <c r="E8" i="8"/>
  <c r="E9" i="8"/>
  <c r="E10" i="8"/>
  <c r="E11" i="8"/>
  <c r="E12" i="8"/>
  <c r="E13" i="8"/>
  <c r="E14" i="8"/>
  <c r="E15" i="8"/>
  <c r="E16" i="8"/>
  <c r="E17" i="8"/>
  <c r="E18" i="8"/>
  <c r="E19" i="8"/>
  <c r="E20" i="8"/>
  <c r="E21" i="8"/>
  <c r="E2" i="8"/>
  <c r="C21" i="1" l="1"/>
  <c r="C59" i="1"/>
  <c r="B27" i="2"/>
  <c r="C27" i="2" s="1"/>
  <c r="D28" i="9" s="1"/>
  <c r="D29" i="9" s="1"/>
  <c r="D30" i="9" s="1"/>
  <c r="B25" i="2"/>
  <c r="C25" i="2" s="1"/>
  <c r="D9" i="9" s="1"/>
  <c r="D37" i="1" s="1"/>
  <c r="C39" i="1"/>
  <c r="C38" i="1"/>
  <c r="B4" i="10" l="1"/>
  <c r="B15" i="7"/>
  <c r="B17" i="6"/>
  <c r="D13" i="9"/>
  <c r="D14" i="9" s="1"/>
  <c r="D15" i="9" s="1"/>
  <c r="D10" i="9"/>
  <c r="D11" i="9" s="1"/>
  <c r="D35" i="1"/>
  <c r="C57" i="1"/>
  <c r="B2" i="10" s="1"/>
  <c r="D38" i="1" l="1"/>
  <c r="C25" i="1"/>
  <c r="D5" i="2" l="1"/>
  <c r="C3" i="8"/>
  <c r="D3" i="8" s="1"/>
  <c r="C4" i="8"/>
  <c r="D4" i="8" s="1"/>
  <c r="C5" i="8"/>
  <c r="D5" i="8" s="1"/>
  <c r="C6" i="8"/>
  <c r="D6" i="8" s="1"/>
  <c r="C7" i="8"/>
  <c r="D7" i="8" s="1"/>
  <c r="C8" i="8"/>
  <c r="D8" i="8" s="1"/>
  <c r="C9" i="8"/>
  <c r="D9" i="8" s="1"/>
  <c r="C10" i="8"/>
  <c r="D10" i="8" s="1"/>
  <c r="C11" i="8"/>
  <c r="D11" i="8" s="1"/>
  <c r="C12" i="8"/>
  <c r="D12" i="8" s="1"/>
  <c r="C13" i="8"/>
  <c r="D13" i="8" s="1"/>
  <c r="C14" i="8"/>
  <c r="D14" i="8" s="1"/>
  <c r="C15" i="8"/>
  <c r="D15" i="8" s="1"/>
  <c r="C16" i="8"/>
  <c r="D16" i="8" s="1"/>
  <c r="C17" i="8"/>
  <c r="D17" i="8" s="1"/>
  <c r="C18" i="8"/>
  <c r="D18" i="8" s="1"/>
  <c r="C19" i="8"/>
  <c r="D19" i="8" s="1"/>
  <c r="C20" i="8"/>
  <c r="D20" i="8" s="1"/>
  <c r="C21" i="8"/>
  <c r="D21" i="8" s="1"/>
  <c r="C2" i="8"/>
  <c r="D2" i="8" s="1"/>
  <c r="C62" i="1" l="1"/>
  <c r="B7" i="10" s="1"/>
  <c r="C53" i="1"/>
  <c r="G7" i="10" s="1"/>
  <c r="D17" i="9" l="1"/>
  <c r="D18" i="9" s="1"/>
  <c r="C61" i="1" s="1"/>
  <c r="B18" i="6"/>
  <c r="D20" i="9" s="1"/>
  <c r="D22" i="9" l="1"/>
  <c r="D42" i="1"/>
  <c r="B5" i="10"/>
  <c r="B6" i="10"/>
  <c r="B16" i="7" l="1"/>
  <c r="D24" i="9" s="1"/>
  <c r="D26" i="9" s="1"/>
  <c r="D41" i="1" s="1"/>
  <c r="C58" i="1" l="1"/>
  <c r="D13" i="2"/>
  <c r="C15" i="2"/>
  <c r="B3" i="10" l="1"/>
  <c r="C63" i="1"/>
  <c r="C14" i="2"/>
  <c r="D14" i="2" s="1"/>
  <c r="C12" i="2"/>
  <c r="D12" i="2" s="1"/>
  <c r="D15" i="2"/>
  <c r="D7" i="2"/>
  <c r="D4" i="2"/>
  <c r="C6" i="2"/>
  <c r="D6" i="2" s="1"/>
  <c r="D17" i="2" l="1"/>
  <c r="D16" i="2"/>
  <c r="D18" i="2"/>
  <c r="D10" i="2"/>
  <c r="D9" i="2"/>
  <c r="D8" i="2"/>
  <c r="C54" i="1" l="1"/>
  <c r="G8" i="10" s="1"/>
  <c r="G2" i="10"/>
  <c r="B8" i="10"/>
</calcChain>
</file>

<file path=xl/sharedStrings.xml><?xml version="1.0" encoding="utf-8"?>
<sst xmlns="http://schemas.openxmlformats.org/spreadsheetml/2006/main" count="160" uniqueCount="105">
  <si>
    <t>Fallhöjd</t>
  </si>
  <si>
    <t>Kostnad</t>
  </si>
  <si>
    <t>Schablonuträkningar</t>
  </si>
  <si>
    <t>Fall 1</t>
  </si>
  <si>
    <t>Fall 2</t>
  </si>
  <si>
    <t>Fall 3</t>
  </si>
  <si>
    <t>Fall 4</t>
  </si>
  <si>
    <t>Dammutrivning [1]</t>
  </si>
  <si>
    <t>Kostnad/fallmeter</t>
  </si>
  <si>
    <t>Snitt</t>
  </si>
  <si>
    <t>Min</t>
  </si>
  <si>
    <t>Max</t>
  </si>
  <si>
    <t>Omlöp [2-5]</t>
  </si>
  <si>
    <t>Fall 4 [5]</t>
  </si>
  <si>
    <t>Utrivning</t>
  </si>
  <si>
    <t>Utrivningskostnad</t>
  </si>
  <si>
    <t>Efter miljöfond</t>
  </si>
  <si>
    <t>Kostnad [öre/KWh]</t>
  </si>
  <si>
    <t>Produktion [GWh]</t>
  </si>
  <si>
    <t>Produktionsintäkter</t>
  </si>
  <si>
    <t>*Obligatorisk vid schablonberäkning</t>
  </si>
  <si>
    <t>Drift och underhåll</t>
  </si>
  <si>
    <t>Förnyelsekostnad</t>
  </si>
  <si>
    <t>Förnyelsekostnader</t>
  </si>
  <si>
    <t>Från "Produktions"-fliken</t>
  </si>
  <si>
    <t>Från "Förnyelsekostnad"-fliken</t>
  </si>
  <si>
    <t>Kostnad [öre/(KWh*år)]</t>
  </si>
  <si>
    <t>Kostnad [SEK/år]</t>
  </si>
  <si>
    <t>År</t>
  </si>
  <si>
    <t>Per år</t>
  </si>
  <si>
    <t>Elpris [SEK/MWh]</t>
  </si>
  <si>
    <t>Intäkt [SEK]</t>
  </si>
  <si>
    <t>Elpris med justerad prognos[SEK/MWh]</t>
  </si>
  <si>
    <t>Miljöanpassning</t>
  </si>
  <si>
    <t>Ägarens kostnad (15% efter miljöfond)</t>
  </si>
  <si>
    <t>Ersättning</t>
  </si>
  <si>
    <t>A1. Dammanläggning</t>
  </si>
  <si>
    <t>A2. Fallhöjd över dammen i meter*</t>
  </si>
  <si>
    <t>Ansökningskostnad</t>
  </si>
  <si>
    <t>Fiskväg uppströms</t>
  </si>
  <si>
    <t>Schablon per fallhöjdsmeter (1 MSEK / meter)</t>
  </si>
  <si>
    <t>Schablonberäkningar för jämförelse</t>
  </si>
  <si>
    <t>Fiskväg nedströms</t>
  </si>
  <si>
    <t>Schablonuppskattningar</t>
  </si>
  <si>
    <t>Schablonvärde</t>
  </si>
  <si>
    <t>Fiskväg uppströms [pris per fallhöjd i meter]</t>
  </si>
  <si>
    <t>Uträkning</t>
  </si>
  <si>
    <t>Schablon per GWh (1 MSEK / GWh)</t>
  </si>
  <si>
    <t>Färgförklaring</t>
  </si>
  <si>
    <t>Totalt</t>
  </si>
  <si>
    <t>Intäkt</t>
  </si>
  <si>
    <t>Från "Drift och underhåll"-fliken</t>
  </si>
  <si>
    <t>Från schablon</t>
  </si>
  <si>
    <t>Schablonuppskattning</t>
  </si>
  <si>
    <t>Ägarens kostnad</t>
  </si>
  <si>
    <t>Stapeldiagram Miljöanpassning</t>
  </si>
  <si>
    <t>Stapeldiagram Utrivning</t>
  </si>
  <si>
    <t>C1. Ansökningskostnad</t>
  </si>
  <si>
    <t>C2. Utrivningskostnad</t>
  </si>
  <si>
    <t>C3. Miljöanpassning - Fiskväg uppströms</t>
  </si>
  <si>
    <t>C4. Miljöanpassning - Lösning för nedströms vandring</t>
  </si>
  <si>
    <t>C5. Miljöanpassning - Övrigt</t>
  </si>
  <si>
    <t>Damm XX</t>
  </si>
  <si>
    <t>Egen uppskattning</t>
  </si>
  <si>
    <t>Ägarens kostnad (15% av kostnaderna C1 och C3-C5)</t>
  </si>
  <si>
    <t>Ägarens kostnad (15% av kostnaderna C1 och C2)</t>
  </si>
  <si>
    <t>Ersättning för produktionsbortfall från fonden</t>
  </si>
  <si>
    <t>Ruta som ska fyllas i</t>
  </si>
  <si>
    <t>Indata från anläggningsägaren</t>
  </si>
  <si>
    <t>Ersättning från fonden med hjälp av programmet Snurran</t>
  </si>
  <si>
    <t>Kostnader på åtgärder och drift</t>
  </si>
  <si>
    <t>Kalkyl för en 20-årsperiod</t>
  </si>
  <si>
    <t>B3. Variation i elprisprognosen (%)</t>
  </si>
  <si>
    <t>B4. Konstant elpris [SEK/MWh]</t>
  </si>
  <si>
    <t>Konstant  elpris</t>
  </si>
  <si>
    <t>Uträkning av årsproduktion efter anpassning</t>
  </si>
  <si>
    <t>A3. Genomsnittlig årsproduktion innan miljöanpassning (GWh)</t>
  </si>
  <si>
    <t>A4. Medelflöde (t.ex från SMHI Vattenwebb)</t>
  </si>
  <si>
    <t>A5. Mintappning idag</t>
  </si>
  <si>
    <t>A6. Mintappning efter NAP anpassning</t>
  </si>
  <si>
    <t>Flervalsinställningar</t>
  </si>
  <si>
    <t>Uppskattad årsproduktion efter NAP anpassning</t>
  </si>
  <si>
    <t>Elpris - Prognos</t>
  </si>
  <si>
    <t>Konstant elpris [SEK/MWh]</t>
  </si>
  <si>
    <t>A7. Använd uppskattad årsproduktion (0) eller ett faktiskt värde (1)</t>
  </si>
  <si>
    <t>Årsproduktion [GWh]</t>
  </si>
  <si>
    <t>A9. Ersättning vid avyttring</t>
  </si>
  <si>
    <t>A10. Ersättning vid anpassning</t>
  </si>
  <si>
    <t>B2. Välj elprisprognos (0) eller konstant elpris (1)</t>
  </si>
  <si>
    <t>Inställningar kostnader och elpris</t>
  </si>
  <si>
    <t>B1. Använd schablon för kostnader (0 för nej, 1 för ja)</t>
  </si>
  <si>
    <t>Fastighetsskatt</t>
  </si>
  <si>
    <t>2 kr/kWh</t>
  </si>
  <si>
    <t>Taxeringsvärde</t>
  </si>
  <si>
    <t>C7. Förnyelsekostnad (för hela 20-års perioden)</t>
  </si>
  <si>
    <t>C8. Drift och underhållskostnad (per år)</t>
  </si>
  <si>
    <t>C6. Fastighetsskatt (0.5% av taxeringsvärdet per år)</t>
  </si>
  <si>
    <t>Kalkyl för NAP-projekt</t>
  </si>
  <si>
    <t>Lösning för nedströms vandring [pris per m3/s utbyggnadsvattenföring]</t>
  </si>
  <si>
    <t>Senaste version av Snurran 1.2 2024-04-23</t>
  </si>
  <si>
    <t>Version på dokumentet - 20240423</t>
  </si>
  <si>
    <t>Rutor som räknas ut automatiskt</t>
  </si>
  <si>
    <t>Utgifter i kalkyl</t>
  </si>
  <si>
    <t>Intäkter i kalkyl</t>
  </si>
  <si>
    <t>A8. Angiven årsproduktion efter NAP anpassning (siffra från BEPPE)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</si>
</sst>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 [$kr-41D]_-;\-* #,##0\ [$kr-41D]_-;_-* &quot;-&quot;??\ [$kr-41D]_-;_-@_-"/>
    <numFmt numFmtId="165" formatCode="#,##0\ [$kr-41D];\-#,##0\ [$kr-41D]"/>
    <numFmt numFmtId="166" formatCode="#,##0\ &quot;kr&quot;"/>
    <numFmt numFmtId="167" formatCode="_-* #,##0.00\ [$kr-41D]_-;\-* #,##0.00\ [$kr-41D]_-;_-* &quot;-&quot;??\ [$kr-41D]_-;_-@_-"/>
  </numFmts>
  <fonts count="11" x14ac:knownFonts="1">
    <font>
      <sz val="11"/>
      <color theme="1"/>
      <name val="Calibri"/>
      <family val="2"/>
      <scheme val="minor"/>
    </font>
    <font>
      <b/>
      <sz val="11"/>
      <color theme="1"/>
      <name val="Calibri"/>
      <family val="2"/>
      <scheme val="minor"/>
    </font>
    <font>
      <i/>
      <sz val="11"/>
      <color theme="1"/>
      <name val="Calibri"/>
      <family val="2"/>
      <scheme val="minor"/>
    </font>
    <font>
      <sz val="11"/>
      <color rgb="FF006100"/>
      <name val="Calibri"/>
      <family val="2"/>
      <scheme val="minor"/>
    </font>
    <font>
      <sz val="11"/>
      <color rgb="FF9C0006"/>
      <name val="Calibri"/>
      <family val="2"/>
      <scheme val="minor"/>
    </font>
    <font>
      <b/>
      <i/>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i/>
      <sz val="12"/>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59999389629810485"/>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4" borderId="0" applyNumberFormat="0" applyBorder="0" applyAlignment="0" applyProtection="0"/>
    <xf numFmtId="0" fontId="4" fillId="5" borderId="0" applyNumberFormat="0" applyBorder="0" applyAlignment="0" applyProtection="0"/>
  </cellStyleXfs>
  <cellXfs count="120">
    <xf numFmtId="0" fontId="0" fillId="0" borderId="0" xfId="0"/>
    <xf numFmtId="0" fontId="1" fillId="0" borderId="0" xfId="0" applyFont="1"/>
    <xf numFmtId="0" fontId="0" fillId="2" borderId="0" xfId="0" applyFill="1"/>
    <xf numFmtId="0" fontId="0" fillId="3" borderId="1" xfId="0" applyFill="1" applyBorder="1"/>
    <xf numFmtId="0" fontId="0" fillId="3" borderId="4" xfId="0" applyFill="1" applyBorder="1"/>
    <xf numFmtId="0" fontId="0" fillId="3" borderId="9" xfId="0" applyFill="1" applyBorder="1"/>
    <xf numFmtId="0" fontId="0" fillId="2" borderId="2" xfId="0" applyFill="1" applyBorder="1"/>
    <xf numFmtId="0" fontId="0" fillId="2" borderId="3" xfId="0" applyFill="1" applyBorder="1"/>
    <xf numFmtId="0" fontId="0" fillId="2" borderId="5" xfId="0" applyFill="1" applyBorder="1"/>
    <xf numFmtId="0" fontId="0" fillId="2" borderId="10" xfId="0" applyFill="1" applyBorder="1"/>
    <xf numFmtId="0" fontId="2" fillId="3" borderId="4" xfId="0" applyFont="1" applyFill="1" applyBorder="1"/>
    <xf numFmtId="0" fontId="2" fillId="3" borderId="6" xfId="0" applyFont="1" applyFill="1" applyBorder="1"/>
    <xf numFmtId="0" fontId="0" fillId="2" borderId="7" xfId="0" applyFill="1" applyBorder="1"/>
    <xf numFmtId="0" fontId="0" fillId="2" borderId="8" xfId="0" applyFill="1" applyBorder="1"/>
    <xf numFmtId="0" fontId="1" fillId="0" borderId="12" xfId="0" applyFont="1" applyBorder="1"/>
    <xf numFmtId="0" fontId="0" fillId="0" borderId="13" xfId="0" applyBorder="1"/>
    <xf numFmtId="0" fontId="0" fillId="0" borderId="14" xfId="0" applyBorder="1"/>
    <xf numFmtId="0" fontId="1" fillId="3" borderId="12" xfId="0" applyFont="1" applyFill="1" applyBorder="1"/>
    <xf numFmtId="0" fontId="1" fillId="3" borderId="14" xfId="0" applyFont="1" applyFill="1" applyBorder="1"/>
    <xf numFmtId="0" fontId="1" fillId="3" borderId="1" xfId="0" applyFont="1" applyFill="1" applyBorder="1"/>
    <xf numFmtId="0" fontId="2" fillId="3" borderId="9" xfId="0" applyFont="1" applyFill="1" applyBorder="1"/>
    <xf numFmtId="0" fontId="5" fillId="3" borderId="6" xfId="0" applyFont="1" applyFill="1" applyBorder="1"/>
    <xf numFmtId="0" fontId="0" fillId="6" borderId="3" xfId="0" applyFill="1" applyBorder="1"/>
    <xf numFmtId="0" fontId="1" fillId="3" borderId="4" xfId="0" applyFont="1" applyFill="1" applyBorder="1"/>
    <xf numFmtId="0" fontId="1" fillId="3" borderId="9" xfId="0" applyFont="1" applyFill="1" applyBorder="1"/>
    <xf numFmtId="0" fontId="0" fillId="7" borderId="5" xfId="0" applyFill="1" applyBorder="1"/>
    <xf numFmtId="0" fontId="0" fillId="3" borderId="2" xfId="0" applyFill="1" applyBorder="1"/>
    <xf numFmtId="0" fontId="0" fillId="3" borderId="3" xfId="0" applyFill="1" applyBorder="1"/>
    <xf numFmtId="0" fontId="0" fillId="3" borderId="5" xfId="0" applyFill="1" applyBorder="1"/>
    <xf numFmtId="0" fontId="0" fillId="3" borderId="8" xfId="0" applyFill="1" applyBorder="1"/>
    <xf numFmtId="0" fontId="0" fillId="3" borderId="6" xfId="0" applyFill="1" applyBorder="1"/>
    <xf numFmtId="0" fontId="0" fillId="3" borderId="7" xfId="0" applyFill="1" applyBorder="1"/>
    <xf numFmtId="0" fontId="1" fillId="3" borderId="6" xfId="0" applyFont="1" applyFill="1" applyBorder="1"/>
    <xf numFmtId="0" fontId="1" fillId="3" borderId="3" xfId="0" applyFont="1" applyFill="1" applyBorder="1"/>
    <xf numFmtId="0" fontId="2" fillId="3" borderId="5" xfId="0" applyFont="1" applyFill="1" applyBorder="1"/>
    <xf numFmtId="0" fontId="2" fillId="3" borderId="11" xfId="0" applyFont="1" applyFill="1" applyBorder="1"/>
    <xf numFmtId="0" fontId="0" fillId="3" borderId="4" xfId="0" applyFill="1" applyBorder="1" applyAlignment="1">
      <alignment horizontal="left"/>
    </xf>
    <xf numFmtId="164" fontId="0" fillId="2" borderId="10" xfId="0" applyNumberFormat="1" applyFill="1" applyBorder="1"/>
    <xf numFmtId="164" fontId="0" fillId="2" borderId="0" xfId="0" applyNumberFormat="1" applyFill="1"/>
    <xf numFmtId="164" fontId="0" fillId="2" borderId="2" xfId="0" applyNumberFormat="1" applyFill="1" applyBorder="1"/>
    <xf numFmtId="164" fontId="0" fillId="0" borderId="8" xfId="0" applyNumberFormat="1" applyBorder="1"/>
    <xf numFmtId="164" fontId="0" fillId="2" borderId="5" xfId="0" applyNumberFormat="1" applyFill="1" applyBorder="1"/>
    <xf numFmtId="164" fontId="0" fillId="2" borderId="8" xfId="0" applyNumberFormat="1" applyFill="1" applyBorder="1"/>
    <xf numFmtId="0" fontId="0" fillId="2" borderId="4" xfId="0" applyFill="1" applyBorder="1"/>
    <xf numFmtId="0" fontId="0" fillId="2" borderId="6" xfId="0" applyFill="1" applyBorder="1"/>
    <xf numFmtId="0" fontId="2" fillId="3" borderId="8" xfId="0" applyFont="1" applyFill="1" applyBorder="1"/>
    <xf numFmtId="0" fontId="0" fillId="3" borderId="0" xfId="0" applyFill="1"/>
    <xf numFmtId="0" fontId="0" fillId="3" borderId="19" xfId="0" applyFill="1" applyBorder="1"/>
    <xf numFmtId="0" fontId="0" fillId="3" borderId="20" xfId="0" applyFill="1" applyBorder="1"/>
    <xf numFmtId="0" fontId="0" fillId="3" borderId="18" xfId="0" applyFill="1" applyBorder="1"/>
    <xf numFmtId="0" fontId="0" fillId="3" borderId="1" xfId="0" applyFill="1" applyBorder="1" applyAlignment="1">
      <alignment horizontal="left"/>
    </xf>
    <xf numFmtId="164" fontId="0" fillId="2" borderId="3" xfId="0" applyNumberFormat="1" applyFill="1" applyBorder="1"/>
    <xf numFmtId="164" fontId="0" fillId="0" borderId="7" xfId="0" applyNumberFormat="1" applyBorder="1"/>
    <xf numFmtId="164" fontId="0" fillId="2" borderId="11" xfId="0" applyNumberFormat="1" applyFill="1" applyBorder="1"/>
    <xf numFmtId="164" fontId="2" fillId="2" borderId="5" xfId="0" applyNumberFormat="1" applyFont="1" applyFill="1" applyBorder="1"/>
    <xf numFmtId="164" fontId="2" fillId="2" borderId="8" xfId="0" applyNumberFormat="1" applyFont="1" applyFill="1" applyBorder="1"/>
    <xf numFmtId="164" fontId="0" fillId="2" borderId="7" xfId="0" applyNumberFormat="1" applyFill="1" applyBorder="1"/>
    <xf numFmtId="0" fontId="1" fillId="3" borderId="13" xfId="0" applyFont="1" applyFill="1" applyBorder="1"/>
    <xf numFmtId="0" fontId="1" fillId="3" borderId="19" xfId="0" applyFont="1" applyFill="1" applyBorder="1"/>
    <xf numFmtId="0" fontId="0" fillId="6" borderId="20" xfId="0" applyFill="1" applyBorder="1"/>
    <xf numFmtId="165" fontId="4" fillId="10" borderId="20" xfId="2" applyNumberFormat="1" applyFill="1" applyBorder="1"/>
    <xf numFmtId="0" fontId="9" fillId="3" borderId="21" xfId="0" applyFont="1" applyFill="1" applyBorder="1" applyAlignment="1">
      <alignment horizontal="right"/>
    </xf>
    <xf numFmtId="0" fontId="6" fillId="3" borderId="12" xfId="0" applyFont="1" applyFill="1" applyBorder="1" applyAlignment="1">
      <alignment horizontal="left"/>
    </xf>
    <xf numFmtId="0" fontId="0" fillId="6" borderId="5" xfId="0" applyFill="1" applyBorder="1" applyAlignment="1">
      <alignment horizontal="left"/>
    </xf>
    <xf numFmtId="166" fontId="0" fillId="6" borderId="5" xfId="0" applyNumberFormat="1" applyFill="1" applyBorder="1" applyAlignment="1">
      <alignment horizontal="left"/>
    </xf>
    <xf numFmtId="166" fontId="0" fillId="6" borderId="8" xfId="0" applyNumberFormat="1" applyFill="1" applyBorder="1" applyAlignment="1">
      <alignment horizontal="left"/>
    </xf>
    <xf numFmtId="0" fontId="0" fillId="6" borderId="8" xfId="0" applyFill="1" applyBorder="1" applyAlignment="1">
      <alignment horizontal="left"/>
    </xf>
    <xf numFmtId="165" fontId="0" fillId="6" borderId="5" xfId="0" applyNumberFormat="1" applyFill="1" applyBorder="1" applyAlignment="1">
      <alignment horizontal="left"/>
    </xf>
    <xf numFmtId="165" fontId="0" fillId="7" borderId="5" xfId="0" applyNumberFormat="1" applyFill="1" applyBorder="1" applyAlignment="1">
      <alignment horizontal="left"/>
    </xf>
    <xf numFmtId="165" fontId="0" fillId="6" borderId="8" xfId="0" applyNumberFormat="1" applyFill="1" applyBorder="1" applyAlignment="1">
      <alignment horizontal="left"/>
    </xf>
    <xf numFmtId="165" fontId="0" fillId="7" borderId="8" xfId="0" applyNumberFormat="1" applyFill="1" applyBorder="1" applyAlignment="1">
      <alignment horizontal="left"/>
    </xf>
    <xf numFmtId="0" fontId="1" fillId="3" borderId="14" xfId="0" applyFont="1" applyFill="1" applyBorder="1" applyAlignment="1">
      <alignment horizontal="left"/>
    </xf>
    <xf numFmtId="0" fontId="1" fillId="3" borderId="17" xfId="0" applyFont="1" applyFill="1" applyBorder="1" applyAlignment="1">
      <alignment horizontal="left"/>
    </xf>
    <xf numFmtId="0" fontId="0" fillId="7" borderId="20" xfId="0" applyFill="1" applyBorder="1" applyAlignment="1">
      <alignment horizontal="left"/>
    </xf>
    <xf numFmtId="165" fontId="4" fillId="10" borderId="5" xfId="2" applyNumberFormat="1" applyFill="1" applyBorder="1" applyAlignment="1">
      <alignment horizontal="left"/>
    </xf>
    <xf numFmtId="165" fontId="3" fillId="9" borderId="5" xfId="1" applyNumberFormat="1" applyFill="1" applyBorder="1" applyAlignment="1">
      <alignment horizontal="left"/>
    </xf>
    <xf numFmtId="165" fontId="6" fillId="0" borderId="22" xfId="0" applyNumberFormat="1" applyFont="1" applyBorder="1" applyAlignment="1">
      <alignment horizontal="left"/>
    </xf>
    <xf numFmtId="166" fontId="4" fillId="10" borderId="5" xfId="2" applyNumberFormat="1" applyFill="1" applyBorder="1" applyAlignment="1">
      <alignment horizontal="left"/>
    </xf>
    <xf numFmtId="166" fontId="3" fillId="9" borderId="5" xfId="1" applyNumberFormat="1" applyFill="1" applyBorder="1" applyAlignment="1">
      <alignment horizontal="left"/>
    </xf>
    <xf numFmtId="166" fontId="6" fillId="0" borderId="22" xfId="0" applyNumberFormat="1" applyFont="1" applyBorder="1" applyAlignment="1">
      <alignment horizontal="left"/>
    </xf>
    <xf numFmtId="0" fontId="7" fillId="2" borderId="4" xfId="0" applyFont="1" applyFill="1" applyBorder="1"/>
    <xf numFmtId="0" fontId="0" fillId="6" borderId="0" xfId="0" applyFill="1" applyAlignment="1">
      <alignment horizontal="left"/>
    </xf>
    <xf numFmtId="0" fontId="0" fillId="3" borderId="4" xfId="0" applyFill="1" applyBorder="1" applyAlignment="1">
      <alignment wrapText="1"/>
    </xf>
    <xf numFmtId="0" fontId="1" fillId="3" borderId="12" xfId="0" applyFont="1" applyFill="1" applyBorder="1" applyAlignment="1">
      <alignment horizontal="right"/>
    </xf>
    <xf numFmtId="167" fontId="0" fillId="0" borderId="0" xfId="0" applyNumberFormat="1"/>
    <xf numFmtId="0" fontId="0" fillId="11" borderId="5" xfId="0" applyFill="1" applyBorder="1" applyAlignment="1">
      <alignment horizontal="left"/>
    </xf>
    <xf numFmtId="0" fontId="0" fillId="11" borderId="18" xfId="0" applyFill="1" applyBorder="1"/>
    <xf numFmtId="0" fontId="6" fillId="8" borderId="1" xfId="0" applyFont="1" applyFill="1" applyBorder="1"/>
    <xf numFmtId="0" fontId="0" fillId="8" borderId="3" xfId="0" applyFill="1" applyBorder="1"/>
    <xf numFmtId="0" fontId="0" fillId="11" borderId="3" xfId="0" applyFill="1" applyBorder="1" applyAlignment="1">
      <alignment horizontal="left"/>
    </xf>
    <xf numFmtId="0" fontId="0" fillId="0" borderId="2" xfId="0" applyBorder="1"/>
    <xf numFmtId="2" fontId="0" fillId="3" borderId="5" xfId="0" applyNumberFormat="1" applyFill="1" applyBorder="1" applyAlignment="1">
      <alignment horizontal="left"/>
    </xf>
    <xf numFmtId="0" fontId="10" fillId="0" borderId="0" xfId="0" applyFont="1"/>
    <xf numFmtId="0" fontId="2" fillId="3" borderId="4" xfId="0" applyFont="1" applyFill="1" applyBorder="1" applyAlignment="1">
      <alignment wrapText="1"/>
    </xf>
    <xf numFmtId="10" fontId="2" fillId="3" borderId="5" xfId="0" applyNumberFormat="1" applyFont="1" applyFill="1" applyBorder="1"/>
    <xf numFmtId="165" fontId="3" fillId="9" borderId="18" xfId="1" applyNumberFormat="1" applyFill="1" applyBorder="1"/>
    <xf numFmtId="0" fontId="7" fillId="2" borderId="1" xfId="0" applyFont="1" applyFill="1" applyBorder="1" applyAlignment="1">
      <alignment horizontal="left"/>
    </xf>
    <xf numFmtId="0" fontId="7" fillId="2" borderId="3" xfId="0" applyFont="1" applyFill="1" applyBorder="1" applyAlignment="1">
      <alignment horizontal="left"/>
    </xf>
    <xf numFmtId="0" fontId="6" fillId="0" borderId="12" xfId="0" applyFont="1" applyBorder="1" applyAlignment="1">
      <alignment horizontal="left"/>
    </xf>
    <xf numFmtId="0" fontId="6" fillId="0" borderId="14" xfId="0" applyFont="1" applyBorder="1" applyAlignment="1">
      <alignment horizontal="left"/>
    </xf>
    <xf numFmtId="0" fontId="6" fillId="3" borderId="12" xfId="0" applyFont="1" applyFill="1" applyBorder="1" applyAlignment="1">
      <alignment horizontal="left"/>
    </xf>
    <xf numFmtId="0" fontId="6" fillId="3" borderId="13" xfId="0" applyFont="1" applyFill="1" applyBorder="1" applyAlignment="1">
      <alignment horizontal="left"/>
    </xf>
    <xf numFmtId="0" fontId="8" fillId="3" borderId="14" xfId="0" applyFont="1" applyFill="1" applyBorder="1" applyAlignment="1">
      <alignment horizontal="left"/>
    </xf>
    <xf numFmtId="0" fontId="7" fillId="0" borderId="7" xfId="0" applyFont="1" applyBorder="1" applyAlignment="1">
      <alignment horizontal="left"/>
    </xf>
    <xf numFmtId="0" fontId="1" fillId="3" borderId="19" xfId="0" applyFont="1" applyFill="1" applyBorder="1" applyAlignment="1">
      <alignment wrapText="1"/>
    </xf>
    <xf numFmtId="0" fontId="0" fillId="0" borderId="20" xfId="0" applyBorder="1" applyAlignment="1">
      <alignment wrapText="1"/>
    </xf>
    <xf numFmtId="0" fontId="2" fillId="3" borderId="16" xfId="0" applyFont="1" applyFill="1" applyBorder="1" applyAlignment="1">
      <alignment horizontal="center"/>
    </xf>
    <xf numFmtId="0" fontId="2" fillId="3" borderId="15" xfId="0" applyFont="1" applyFill="1" applyBorder="1" applyAlignment="1">
      <alignment horizontal="center"/>
    </xf>
    <xf numFmtId="0" fontId="1" fillId="3" borderId="12" xfId="0" applyFont="1" applyFill="1" applyBorder="1" applyAlignment="1">
      <alignment horizontal="center"/>
    </xf>
    <xf numFmtId="0" fontId="1" fillId="3" borderId="14" xfId="0" applyFont="1" applyFill="1" applyBorder="1" applyAlignment="1">
      <alignment horizontal="center"/>
    </xf>
    <xf numFmtId="0" fontId="2" fillId="3" borderId="6"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1" fillId="0" borderId="7"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0" fillId="0" borderId="1" xfId="0" applyBorder="1" applyAlignment="1">
      <alignment horizontal="center"/>
    </xf>
    <xf numFmtId="0" fontId="0" fillId="0" borderId="3" xfId="0" applyBorder="1" applyAlignment="1">
      <alignment horizontal="center"/>
    </xf>
  </cellXfs>
  <cellStyles count="3">
    <cellStyle name="Bra" xfId="1" builtinId="26"/>
    <cellStyle name="Dålig" xfId="2" builtinId="27"/>
    <cellStyle name="Normal" xfId="0" builtinId="0"/>
  </cellStyles>
  <dxfs count="2">
    <dxf>
      <font>
        <color rgb="FF006100"/>
      </font>
      <fill>
        <patternFill>
          <bgColor rgb="FFC6EFCE"/>
        </patternFill>
      </fill>
    </dxf>
    <dxf>
      <font>
        <color rgb="FF9C0006"/>
      </font>
      <fill>
        <patternFill>
          <bgColor rgb="FFFFC7CE"/>
        </patternFill>
      </fill>
    </dxf>
  </dxfs>
  <tableStyles count="1" defaultTableStyle="TableStyleMedium2" defaultPivotStyle="PivotStyleLight16">
    <tableStyle name="Invisible" pivot="0" table="0" count="0" xr9:uid="{7B1E492E-E535-40C0-A34F-90409CAEA5D5}"/>
  </tableStyles>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54274299864192"/>
          <c:y val="3.2402836141153898E-2"/>
          <c:w val="0.68502755532124349"/>
          <c:h val="0.83679779261767362"/>
        </c:manualLayout>
      </c:layout>
      <c:scatterChart>
        <c:scatterStyle val="lineMarker"/>
        <c:varyColors val="0"/>
        <c:ser>
          <c:idx val="0"/>
          <c:order val="0"/>
          <c:tx>
            <c:strRef>
              <c:f>Produktionsintäkter!$B$1</c:f>
              <c:strCache>
                <c:ptCount val="1"/>
                <c:pt idx="0">
                  <c:v>Elpris [SEK/MWh]</c:v>
                </c:pt>
              </c:strCache>
            </c:strRef>
          </c:tx>
          <c:spPr>
            <a:ln w="19050" cap="rnd">
              <a:solidFill>
                <a:schemeClr val="tx1"/>
              </a:solidFill>
              <a:round/>
            </a:ln>
            <a:effectLst/>
          </c:spPr>
          <c:marker>
            <c:symbol val="none"/>
          </c:marker>
          <c:xVal>
            <c:numRef>
              <c:f>Produktionsintäkter!$A$2:$A$21</c:f>
              <c:numCache>
                <c:formatCode>General</c:formatCode>
                <c:ptCount val="20"/>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numCache>
            </c:numRef>
          </c:xVal>
          <c:yVal>
            <c:numRef>
              <c:f>Produktionsintäkter!$B$2:$B$21</c:f>
              <c:numCache>
                <c:formatCode>_-* #\ ##0\ [$kr-41D]_-;\-* #\ ##0\ [$kr-41D]_-;_-* "-"??\ [$kr-41D]_-;_-@_-</c:formatCode>
                <c:ptCount val="20"/>
                <c:pt idx="0">
                  <c:v>1426.6</c:v>
                </c:pt>
                <c:pt idx="1">
                  <c:v>781.5</c:v>
                </c:pt>
                <c:pt idx="2">
                  <c:v>634.9</c:v>
                </c:pt>
                <c:pt idx="3">
                  <c:v>586.5</c:v>
                </c:pt>
                <c:pt idx="4">
                  <c:v>580.79999999999995</c:v>
                </c:pt>
                <c:pt idx="5">
                  <c:v>565.20000000000005</c:v>
                </c:pt>
                <c:pt idx="6">
                  <c:v>549.70000000000005</c:v>
                </c:pt>
                <c:pt idx="7">
                  <c:v>545.6</c:v>
                </c:pt>
                <c:pt idx="8">
                  <c:v>541.5</c:v>
                </c:pt>
                <c:pt idx="9">
                  <c:v>537.4</c:v>
                </c:pt>
                <c:pt idx="10">
                  <c:v>533.29999999999995</c:v>
                </c:pt>
                <c:pt idx="11">
                  <c:v>529.1</c:v>
                </c:pt>
                <c:pt idx="12">
                  <c:v>525</c:v>
                </c:pt>
                <c:pt idx="13">
                  <c:v>520.9</c:v>
                </c:pt>
                <c:pt idx="14">
                  <c:v>516.79999999999995</c:v>
                </c:pt>
                <c:pt idx="15">
                  <c:v>512.6</c:v>
                </c:pt>
                <c:pt idx="16">
                  <c:v>508.5</c:v>
                </c:pt>
                <c:pt idx="17">
                  <c:v>504.4</c:v>
                </c:pt>
                <c:pt idx="18">
                  <c:v>500.3</c:v>
                </c:pt>
                <c:pt idx="19">
                  <c:v>496.1</c:v>
                </c:pt>
              </c:numCache>
            </c:numRef>
          </c:yVal>
          <c:smooth val="0"/>
          <c:extLst>
            <c:ext xmlns:c16="http://schemas.microsoft.com/office/drawing/2014/chart" uri="{C3380CC4-5D6E-409C-BE32-E72D297353CC}">
              <c16:uniqueId val="{00000000-5494-4407-A222-5F5B32593AED}"/>
            </c:ext>
          </c:extLst>
        </c:ser>
        <c:ser>
          <c:idx val="1"/>
          <c:order val="1"/>
          <c:tx>
            <c:strRef>
              <c:f>Produktionsintäkter!$C$1</c:f>
              <c:strCache>
                <c:ptCount val="1"/>
                <c:pt idx="0">
                  <c:v>Elpris med justerad prognos[SEK/MWh]</c:v>
                </c:pt>
              </c:strCache>
            </c:strRef>
          </c:tx>
          <c:spPr>
            <a:ln w="19050" cap="rnd">
              <a:solidFill>
                <a:srgbClr val="FF0000"/>
              </a:solidFill>
              <a:round/>
            </a:ln>
            <a:effectLst/>
          </c:spPr>
          <c:marker>
            <c:symbol val="none"/>
          </c:marker>
          <c:xVal>
            <c:numRef>
              <c:f>Produktionsintäkter!$A$2:$A$21</c:f>
              <c:numCache>
                <c:formatCode>General</c:formatCode>
                <c:ptCount val="20"/>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numCache>
            </c:numRef>
          </c:xVal>
          <c:yVal>
            <c:numRef>
              <c:f>Produktionsintäkter!$C$2:$C$21</c:f>
              <c:numCache>
                <c:formatCode>_-* #\ ##0\ [$kr-41D]_-;\-* #\ ##0\ [$kr-41D]_-;_-* "-"??\ [$kr-41D]_-;_-@_-</c:formatCode>
                <c:ptCount val="20"/>
                <c:pt idx="0">
                  <c:v>1426.6</c:v>
                </c:pt>
                <c:pt idx="1">
                  <c:v>781.5</c:v>
                </c:pt>
                <c:pt idx="2">
                  <c:v>634.9</c:v>
                </c:pt>
                <c:pt idx="3">
                  <c:v>586.5</c:v>
                </c:pt>
                <c:pt idx="4">
                  <c:v>580.79999999999995</c:v>
                </c:pt>
                <c:pt idx="5">
                  <c:v>565.20000000000005</c:v>
                </c:pt>
                <c:pt idx="6">
                  <c:v>549.70000000000005</c:v>
                </c:pt>
                <c:pt idx="7">
                  <c:v>545.6</c:v>
                </c:pt>
                <c:pt idx="8">
                  <c:v>541.5</c:v>
                </c:pt>
                <c:pt idx="9">
                  <c:v>537.4</c:v>
                </c:pt>
                <c:pt idx="10">
                  <c:v>533.29999999999995</c:v>
                </c:pt>
                <c:pt idx="11">
                  <c:v>529.1</c:v>
                </c:pt>
                <c:pt idx="12">
                  <c:v>525</c:v>
                </c:pt>
                <c:pt idx="13">
                  <c:v>520.9</c:v>
                </c:pt>
                <c:pt idx="14">
                  <c:v>516.79999999999995</c:v>
                </c:pt>
                <c:pt idx="15">
                  <c:v>512.6</c:v>
                </c:pt>
                <c:pt idx="16">
                  <c:v>508.5</c:v>
                </c:pt>
                <c:pt idx="17">
                  <c:v>504.4</c:v>
                </c:pt>
                <c:pt idx="18">
                  <c:v>500.3</c:v>
                </c:pt>
                <c:pt idx="19">
                  <c:v>496.1</c:v>
                </c:pt>
              </c:numCache>
            </c:numRef>
          </c:yVal>
          <c:smooth val="0"/>
          <c:extLst>
            <c:ext xmlns:c16="http://schemas.microsoft.com/office/drawing/2014/chart" uri="{C3380CC4-5D6E-409C-BE32-E72D297353CC}">
              <c16:uniqueId val="{00000001-5494-4407-A222-5F5B32593AED}"/>
            </c:ext>
          </c:extLst>
        </c:ser>
        <c:ser>
          <c:idx val="2"/>
          <c:order val="2"/>
          <c:tx>
            <c:v>Konstant elpris</c:v>
          </c:tx>
          <c:spPr>
            <a:ln w="19050" cap="rnd">
              <a:solidFill>
                <a:schemeClr val="accent1"/>
              </a:solidFill>
              <a:round/>
            </a:ln>
            <a:effectLst/>
          </c:spPr>
          <c:marker>
            <c:symbol val="none"/>
          </c:marker>
          <c:xVal>
            <c:numRef>
              <c:f>Produktionsintäkter!$A$2:$A$21</c:f>
              <c:numCache>
                <c:formatCode>General</c:formatCode>
                <c:ptCount val="20"/>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numCache>
            </c:numRef>
          </c:xVal>
          <c:yVal>
            <c:numRef>
              <c:f>Produktionsintäkter!$E$2:$E$21</c:f>
              <c:numCache>
                <c:formatCode>_-* #\ ##0\ [$kr-41D]_-;\-* #\ ##0\ [$kr-41D]_-;_-* "-"??\ [$kr-41D]_-;_-@_-</c:formatCode>
                <c:ptCount val="20"/>
                <c:pt idx="0">
                  <c:v>600</c:v>
                </c:pt>
                <c:pt idx="1">
                  <c:v>600</c:v>
                </c:pt>
                <c:pt idx="2">
                  <c:v>600</c:v>
                </c:pt>
                <c:pt idx="3">
                  <c:v>600</c:v>
                </c:pt>
                <c:pt idx="4">
                  <c:v>600</c:v>
                </c:pt>
                <c:pt idx="5">
                  <c:v>600</c:v>
                </c:pt>
                <c:pt idx="6">
                  <c:v>600</c:v>
                </c:pt>
                <c:pt idx="7">
                  <c:v>600</c:v>
                </c:pt>
                <c:pt idx="8">
                  <c:v>600</c:v>
                </c:pt>
                <c:pt idx="9">
                  <c:v>600</c:v>
                </c:pt>
                <c:pt idx="10">
                  <c:v>600</c:v>
                </c:pt>
                <c:pt idx="11">
                  <c:v>600</c:v>
                </c:pt>
                <c:pt idx="12">
                  <c:v>600</c:v>
                </c:pt>
                <c:pt idx="13">
                  <c:v>600</c:v>
                </c:pt>
                <c:pt idx="14">
                  <c:v>600</c:v>
                </c:pt>
                <c:pt idx="15">
                  <c:v>600</c:v>
                </c:pt>
                <c:pt idx="16">
                  <c:v>600</c:v>
                </c:pt>
                <c:pt idx="17">
                  <c:v>600</c:v>
                </c:pt>
                <c:pt idx="18">
                  <c:v>600</c:v>
                </c:pt>
                <c:pt idx="19">
                  <c:v>600</c:v>
                </c:pt>
              </c:numCache>
            </c:numRef>
          </c:yVal>
          <c:smooth val="0"/>
          <c:extLst>
            <c:ext xmlns:c16="http://schemas.microsoft.com/office/drawing/2014/chart" uri="{C3380CC4-5D6E-409C-BE32-E72D297353CC}">
              <c16:uniqueId val="{00000001-464F-47D0-AA3C-4BF56CFF4CF1}"/>
            </c:ext>
          </c:extLst>
        </c:ser>
        <c:dLbls>
          <c:showLegendKey val="0"/>
          <c:showVal val="0"/>
          <c:showCatName val="0"/>
          <c:showSerName val="0"/>
          <c:showPercent val="0"/>
          <c:showBubbleSize val="0"/>
        </c:dLbls>
        <c:axId val="772670912"/>
        <c:axId val="2080451744"/>
      </c:scatterChart>
      <c:valAx>
        <c:axId val="7726709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År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80451744"/>
        <c:crosses val="autoZero"/>
        <c:crossBetween val="midCat"/>
      </c:valAx>
      <c:valAx>
        <c:axId val="2080451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Elpris</a:t>
                </a:r>
                <a:r>
                  <a:rPr lang="sv-SE" baseline="0"/>
                  <a:t> [SEK/MWh]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_-* #\ ##0\ [$kr-41D]_-;\-* #\ ##0\ [$kr-41D]_-;_-* &quot;-&quot;??\ [$kr-41D]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72670912"/>
        <c:crosses val="autoZero"/>
        <c:crossBetween val="midCat"/>
      </c:valAx>
      <c:spPr>
        <a:noFill/>
        <a:ln>
          <a:noFill/>
        </a:ln>
        <a:effectLst/>
      </c:spPr>
    </c:plotArea>
    <c:legend>
      <c:legendPos val="tr"/>
      <c:layout>
        <c:manualLayout>
          <c:xMode val="edge"/>
          <c:yMode val="edge"/>
          <c:x val="0.38012728074720942"/>
          <c:y val="4.3177637712266022E-2"/>
          <c:w val="0.52892725886335112"/>
          <c:h val="0.21651403469585287"/>
        </c:manualLayout>
      </c:layout>
      <c:overlay val="1"/>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sv-SE"/>
              <a:t>Miljöanpassning</a:t>
            </a:r>
          </a:p>
          <a:p>
            <a:pPr>
              <a:defRPr/>
            </a:pPr>
            <a:endParaRPr lang="sv-SE"/>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30552741940121336"/>
          <c:y val="0.16592810975404931"/>
          <c:w val="0.6321011880814168"/>
          <c:h val="0.49354307690769422"/>
        </c:manualLayout>
      </c:layout>
      <c:barChart>
        <c:barDir val="bar"/>
        <c:grouping val="clustered"/>
        <c:varyColors val="0"/>
        <c:ser>
          <c:idx val="0"/>
          <c:order val="0"/>
          <c:spPr>
            <a:solidFill>
              <a:srgbClr val="70AD47"/>
            </a:solidFill>
            <a:ln>
              <a:noFill/>
            </a:ln>
            <a:effectLst>
              <a:outerShdw blurRad="57150" dist="19050" dir="5400000" algn="ctr" rotWithShape="0">
                <a:srgbClr val="000000">
                  <a:alpha val="63000"/>
                </a:srgbClr>
              </a:outerShdw>
            </a:effectLst>
          </c:spPr>
          <c:invertIfNegative val="1"/>
          <c:dLbls>
            <c:delete val="1"/>
          </c:dLbls>
          <c:cat>
            <c:strRef>
              <c:f>Figurdata!$A$2:$A$8</c:f>
              <c:strCache>
                <c:ptCount val="7"/>
                <c:pt idx="0">
                  <c:v>Ägarens kostnad</c:v>
                </c:pt>
                <c:pt idx="1">
                  <c:v>Förnyelsekostnad</c:v>
                </c:pt>
                <c:pt idx="2">
                  <c:v>Fastighetsskatt</c:v>
                </c:pt>
                <c:pt idx="3">
                  <c:v>Drift och underhåll</c:v>
                </c:pt>
                <c:pt idx="4">
                  <c:v>Produktionsintäkter</c:v>
                </c:pt>
                <c:pt idx="5">
                  <c:v>Ersättning</c:v>
                </c:pt>
                <c:pt idx="6">
                  <c:v>Totalt</c:v>
                </c:pt>
              </c:strCache>
            </c:strRef>
          </c:cat>
          <c:val>
            <c:numRef>
              <c:f>Figurdata!$B$2:$B$8</c:f>
              <c:numCache>
                <c:formatCode>_-* #\ ##0\ [$kr-41D]_-;\-* #\ ##0\ [$kr-41D]_-;_-* "-"??\ [$kr-41D]_-;_-@_-</c:formatCode>
                <c:ptCount val="7"/>
                <c:pt idx="0">
                  <c:v>-825000</c:v>
                </c:pt>
                <c:pt idx="1">
                  <c:v>-500000</c:v>
                </c:pt>
                <c:pt idx="2">
                  <c:v>-8000000</c:v>
                </c:pt>
                <c:pt idx="3">
                  <c:v>-400000</c:v>
                </c:pt>
                <c:pt idx="4">
                  <c:v>20819225</c:v>
                </c:pt>
                <c:pt idx="5">
                  <c:v>2600000</c:v>
                </c:pt>
                <c:pt idx="6">
                  <c:v>13694225</c:v>
                </c:pt>
              </c:numCache>
            </c:numRef>
          </c:val>
          <c:extLst>
            <c:ext xmlns:c14="http://schemas.microsoft.com/office/drawing/2007/8/2/chart" uri="{6F2FDCE9-48DA-4B69-8628-5D25D57E5C99}">
              <c14:invertSolidFillFmt>
                <c14:spPr xmlns:c14="http://schemas.microsoft.com/office/drawing/2007/8/2/chart">
                  <a:solidFill>
                    <a:srgbClr val="FF5050"/>
                  </a:solidFill>
                  <a:ln>
                    <a:noFill/>
                  </a:ln>
                  <a:effectLst>
                    <a:outerShdw blurRad="57150" dist="19050" dir="5400000" algn="ctr" rotWithShape="0">
                      <a:srgbClr val="000000">
                        <a:alpha val="63000"/>
                      </a:srgbClr>
                    </a:outerShdw>
                  </a:effectLst>
                </c14:spPr>
              </c14:invertSolidFillFmt>
            </c:ext>
            <c:ext xmlns:c16="http://schemas.microsoft.com/office/drawing/2014/chart" uri="{C3380CC4-5D6E-409C-BE32-E72D297353CC}">
              <c16:uniqueId val="{00000000-3E50-4455-A62D-F3ADBF329FD1}"/>
            </c:ext>
          </c:extLst>
        </c:ser>
        <c:dLbls>
          <c:dLblPos val="outEnd"/>
          <c:showLegendKey val="0"/>
          <c:showVal val="1"/>
          <c:showCatName val="0"/>
          <c:showSerName val="0"/>
          <c:showPercent val="0"/>
          <c:showBubbleSize val="0"/>
        </c:dLbls>
        <c:gapWidth val="115"/>
        <c:overlap val="-20"/>
        <c:axId val="2093156896"/>
        <c:axId val="746032656"/>
      </c:barChart>
      <c:catAx>
        <c:axId val="2093156896"/>
        <c:scaling>
          <c:orientation val="minMax"/>
        </c:scaling>
        <c:delete val="0"/>
        <c:axPos val="l"/>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6032656"/>
        <c:crosses val="autoZero"/>
        <c:auto val="1"/>
        <c:lblAlgn val="ctr"/>
        <c:lblOffset val="100"/>
        <c:noMultiLvlLbl val="0"/>
      </c:catAx>
      <c:valAx>
        <c:axId val="746032656"/>
        <c:scaling>
          <c:orientation val="minMax"/>
        </c:scaling>
        <c:delete val="0"/>
        <c:axPos val="b"/>
        <c:majorGridlines>
          <c:spPr>
            <a:ln w="9525" cap="flat" cmpd="sng" algn="ctr">
              <a:solidFill>
                <a:schemeClr val="tx1">
                  <a:lumMod val="15000"/>
                  <a:lumOff val="85000"/>
                </a:schemeClr>
              </a:solidFill>
              <a:round/>
            </a:ln>
            <a:effectLst/>
          </c:spPr>
        </c:majorGridlines>
        <c:numFmt formatCode="_-* #\ ##0\ [$kr-41D]_-;\-* #\ ##0\ [$kr-41D]_-;_-* &quot;-&quot;??\ [$kr-41D]_-;_-@_-" sourceLinked="1"/>
        <c:majorTickMark val="none"/>
        <c:minorTickMark val="none"/>
        <c:tickLblPos val="nextTo"/>
        <c:spPr>
          <a:noFill/>
          <a:ln>
            <a:noFill/>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931568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sv-SE"/>
              <a:t>Utrivning</a:t>
            </a:r>
          </a:p>
          <a:p>
            <a:pPr>
              <a:defRPr/>
            </a:pPr>
            <a:endParaRPr lang="sv-SE"/>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39540227029980868"/>
          <c:y val="0.17281701847140174"/>
          <c:w val="0.55936284778282852"/>
          <c:h val="0.47382326240686995"/>
        </c:manualLayout>
      </c:layout>
      <c:barChart>
        <c:barDir val="bar"/>
        <c:grouping val="clustered"/>
        <c:varyColors val="0"/>
        <c:ser>
          <c:idx val="0"/>
          <c:order val="0"/>
          <c:tx>
            <c:strRef>
              <c:f>Figurdata!$F$2:$F$8</c:f>
              <c:strCache>
                <c:ptCount val="7"/>
                <c:pt idx="0">
                  <c:v>Ägarens kostnad (15% efter miljöfond)</c:v>
                </c:pt>
                <c:pt idx="1">
                  <c:v>Förnyelsekostnad</c:v>
                </c:pt>
                <c:pt idx="2">
                  <c:v>Fastighetsskatt</c:v>
                </c:pt>
                <c:pt idx="3">
                  <c:v>Drift och underhåll</c:v>
                </c:pt>
                <c:pt idx="4">
                  <c:v>Produktionsintäkter</c:v>
                </c:pt>
                <c:pt idx="5">
                  <c:v>Ersättning</c:v>
                </c:pt>
                <c:pt idx="6">
                  <c:v>Totalt</c:v>
                </c:pt>
              </c:strCache>
            </c:strRef>
          </c:tx>
          <c:spPr>
            <a:solidFill>
              <a:srgbClr val="70AD47"/>
            </a:solidFill>
            <a:ln>
              <a:noFill/>
            </a:ln>
            <a:effectLst>
              <a:outerShdw blurRad="57150" dist="19050" dir="5400000" algn="ctr" rotWithShape="0">
                <a:srgbClr val="000000">
                  <a:alpha val="63000"/>
                </a:srgbClr>
              </a:outerShdw>
            </a:effectLst>
          </c:spPr>
          <c:invertIfNegative val="1"/>
          <c:dLbls>
            <c:delete val="1"/>
          </c:dLbls>
          <c:cat>
            <c:strRef>
              <c:f>Figurdata!$A$2:$A$8</c:f>
              <c:strCache>
                <c:ptCount val="7"/>
                <c:pt idx="0">
                  <c:v>Ägarens kostnad</c:v>
                </c:pt>
                <c:pt idx="1">
                  <c:v>Förnyelsekostnad</c:v>
                </c:pt>
                <c:pt idx="2">
                  <c:v>Fastighetsskatt</c:v>
                </c:pt>
                <c:pt idx="3">
                  <c:v>Drift och underhåll</c:v>
                </c:pt>
                <c:pt idx="4">
                  <c:v>Produktionsintäkter</c:v>
                </c:pt>
                <c:pt idx="5">
                  <c:v>Ersättning</c:v>
                </c:pt>
                <c:pt idx="6">
                  <c:v>Totalt</c:v>
                </c:pt>
              </c:strCache>
            </c:strRef>
          </c:cat>
          <c:val>
            <c:numRef>
              <c:f>Figurdata!$G$2:$G$8</c:f>
              <c:numCache>
                <c:formatCode>_-* #\ ##0\ [$kr-41D]_-;\-* #\ ##0\ [$kr-41D]_-;_-* "-"??\ [$kr-41D]_-;_-@_-</c:formatCode>
                <c:ptCount val="7"/>
                <c:pt idx="0">
                  <c:v>-375000</c:v>
                </c:pt>
                <c:pt idx="1">
                  <c:v>0</c:v>
                </c:pt>
                <c:pt idx="2">
                  <c:v>0</c:v>
                </c:pt>
                <c:pt idx="3">
                  <c:v>0</c:v>
                </c:pt>
                <c:pt idx="4">
                  <c:v>0</c:v>
                </c:pt>
                <c:pt idx="5">
                  <c:v>10900000</c:v>
                </c:pt>
                <c:pt idx="6">
                  <c:v>10525000</c:v>
                </c:pt>
              </c:numCache>
            </c:numRef>
          </c:val>
          <c:extLst>
            <c:ext xmlns:c14="http://schemas.microsoft.com/office/drawing/2007/8/2/chart" uri="{6F2FDCE9-48DA-4B69-8628-5D25D57E5C99}">
              <c14:invertSolidFillFmt>
                <c14:spPr xmlns:c14="http://schemas.microsoft.com/office/drawing/2007/8/2/chart">
                  <a:solidFill>
                    <a:srgbClr val="FF5050"/>
                  </a:solidFill>
                  <a:ln>
                    <a:noFill/>
                  </a:ln>
                  <a:effectLst>
                    <a:outerShdw blurRad="57150" dist="19050" dir="5400000" algn="ctr" rotWithShape="0">
                      <a:srgbClr val="000000">
                        <a:alpha val="63000"/>
                      </a:srgbClr>
                    </a:outerShdw>
                  </a:effectLst>
                </c14:spPr>
              </c14:invertSolidFillFmt>
            </c:ext>
            <c:ext xmlns:c16="http://schemas.microsoft.com/office/drawing/2014/chart" uri="{C3380CC4-5D6E-409C-BE32-E72D297353CC}">
              <c16:uniqueId val="{00000000-355A-4040-95E0-3D3CABFAB9A3}"/>
            </c:ext>
          </c:extLst>
        </c:ser>
        <c:dLbls>
          <c:dLblPos val="outEnd"/>
          <c:showLegendKey val="0"/>
          <c:showVal val="1"/>
          <c:showCatName val="0"/>
          <c:showSerName val="0"/>
          <c:showPercent val="0"/>
          <c:showBubbleSize val="0"/>
        </c:dLbls>
        <c:gapWidth val="115"/>
        <c:overlap val="-20"/>
        <c:axId val="2093156896"/>
        <c:axId val="746032656"/>
      </c:barChart>
      <c:catAx>
        <c:axId val="2093156896"/>
        <c:scaling>
          <c:orientation val="minMax"/>
        </c:scaling>
        <c:delete val="0"/>
        <c:axPos val="l"/>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6032656"/>
        <c:crosses val="autoZero"/>
        <c:auto val="1"/>
        <c:lblAlgn val="ctr"/>
        <c:lblOffset val="100"/>
        <c:noMultiLvlLbl val="0"/>
      </c:catAx>
      <c:valAx>
        <c:axId val="746032656"/>
        <c:scaling>
          <c:orientation val="minMax"/>
        </c:scaling>
        <c:delete val="0"/>
        <c:axPos val="b"/>
        <c:majorGridlines>
          <c:spPr>
            <a:ln w="9525" cap="flat" cmpd="sng" algn="ctr">
              <a:solidFill>
                <a:schemeClr val="tx1">
                  <a:lumMod val="15000"/>
                  <a:lumOff val="85000"/>
                </a:schemeClr>
              </a:solidFill>
              <a:round/>
            </a:ln>
            <a:effectLst/>
          </c:spPr>
        </c:majorGridlines>
        <c:numFmt formatCode="_-* #\ ##0\ [$kr-41D]_-;\-* #\ ##0\ [$kr-41D]_-;_-* &quot;-&quot;??\ [$kr-41D]_-;_-@_-" sourceLinked="1"/>
        <c:majorTickMark val="none"/>
        <c:minorTickMark val="none"/>
        <c:tickLblPos val="nextTo"/>
        <c:spPr>
          <a:noFill/>
          <a:ln>
            <a:noFill/>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931568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'Drift och underhåll'!$B$1</c:f>
              <c:strCache>
                <c:ptCount val="1"/>
                <c:pt idx="0">
                  <c:v>Kostnad [öre/KWh]</c:v>
                </c:pt>
              </c:strCache>
            </c:strRef>
          </c:tx>
          <c:spPr>
            <a:ln w="19050" cap="rnd">
              <a:noFill/>
              <a:round/>
            </a:ln>
            <a:effectLst/>
          </c:spPr>
          <c:marker>
            <c:symbol val="circle"/>
            <c:size val="7"/>
            <c:spPr>
              <a:solidFill>
                <a:srgbClr val="FF0000"/>
              </a:solidFill>
              <a:ln w="19050">
                <a:noFill/>
              </a:ln>
              <a:effectLst/>
            </c:spPr>
          </c:marker>
          <c:trendline>
            <c:spPr>
              <a:ln w="25400" cap="rnd">
                <a:solidFill>
                  <a:schemeClr val="tx1"/>
                </a:solidFill>
                <a:prstDash val="solid"/>
              </a:ln>
              <a:effectLst/>
            </c:spPr>
            <c:trendlineType val="log"/>
            <c:dispRSqr val="0"/>
            <c:dispEq val="1"/>
            <c:trendlineLbl>
              <c:layout>
                <c:manualLayout>
                  <c:x val="-4.0124816460142612E-2"/>
                  <c:y val="-9.08908087296523E-2"/>
                </c:manualLayout>
              </c:layout>
              <c:numFmt formatCode="General" sourceLinked="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sv-SE"/>
                </a:p>
              </c:txPr>
            </c:trendlineLbl>
          </c:trendline>
          <c:xVal>
            <c:numRef>
              <c:f>'Drift och underhåll'!$A$2:$A$11</c:f>
              <c:numCache>
                <c:formatCode>General</c:formatCode>
                <c:ptCount val="10"/>
                <c:pt idx="0">
                  <c:v>2</c:v>
                </c:pt>
                <c:pt idx="1">
                  <c:v>5</c:v>
                </c:pt>
                <c:pt idx="2">
                  <c:v>10</c:v>
                </c:pt>
                <c:pt idx="3">
                  <c:v>50</c:v>
                </c:pt>
                <c:pt idx="4">
                  <c:v>100</c:v>
                </c:pt>
                <c:pt idx="5">
                  <c:v>200</c:v>
                </c:pt>
                <c:pt idx="6">
                  <c:v>350</c:v>
                </c:pt>
                <c:pt idx="7">
                  <c:v>500</c:v>
                </c:pt>
                <c:pt idx="8">
                  <c:v>750</c:v>
                </c:pt>
                <c:pt idx="9">
                  <c:v>1400</c:v>
                </c:pt>
              </c:numCache>
            </c:numRef>
          </c:xVal>
          <c:yVal>
            <c:numRef>
              <c:f>'Drift och underhåll'!$B$2:$B$11</c:f>
              <c:numCache>
                <c:formatCode>General</c:formatCode>
                <c:ptCount val="10"/>
                <c:pt idx="0">
                  <c:v>15.71</c:v>
                </c:pt>
                <c:pt idx="1">
                  <c:v>13.63</c:v>
                </c:pt>
                <c:pt idx="2">
                  <c:v>11.69</c:v>
                </c:pt>
                <c:pt idx="3">
                  <c:v>6.85</c:v>
                </c:pt>
                <c:pt idx="4">
                  <c:v>5.9</c:v>
                </c:pt>
                <c:pt idx="5">
                  <c:v>4.5</c:v>
                </c:pt>
                <c:pt idx="6">
                  <c:v>5.13</c:v>
                </c:pt>
                <c:pt idx="7">
                  <c:v>2.99</c:v>
                </c:pt>
                <c:pt idx="8">
                  <c:v>2.2400000000000002</c:v>
                </c:pt>
                <c:pt idx="9">
                  <c:v>2.46</c:v>
                </c:pt>
              </c:numCache>
            </c:numRef>
          </c:yVal>
          <c:smooth val="0"/>
          <c:extLst>
            <c:ext xmlns:c16="http://schemas.microsoft.com/office/drawing/2014/chart" uri="{C3380CC4-5D6E-409C-BE32-E72D297353CC}">
              <c16:uniqueId val="{00000000-2919-492D-8ADF-66D133AEA4E1}"/>
            </c:ext>
          </c:extLst>
        </c:ser>
        <c:dLbls>
          <c:showLegendKey val="0"/>
          <c:showVal val="0"/>
          <c:showCatName val="0"/>
          <c:showSerName val="0"/>
          <c:showPercent val="0"/>
          <c:showBubbleSize val="0"/>
        </c:dLbls>
        <c:axId val="1095950175"/>
        <c:axId val="935800288"/>
      </c:scatterChart>
      <c:valAx>
        <c:axId val="109595017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sv-SE" sz="1200"/>
                  <a:t>Produktion [GWh]</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935800288"/>
        <c:crosses val="autoZero"/>
        <c:crossBetween val="midCat"/>
      </c:valAx>
      <c:valAx>
        <c:axId val="935800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sv-SE" sz="1200"/>
                  <a:t>Kostnad [Öre/KWh]</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9595017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Förnyelsekostnad!$B$1</c:f>
              <c:strCache>
                <c:ptCount val="1"/>
                <c:pt idx="0">
                  <c:v>Kostnad [öre/KWh]</c:v>
                </c:pt>
              </c:strCache>
            </c:strRef>
          </c:tx>
          <c:spPr>
            <a:ln w="19050" cap="rnd">
              <a:noFill/>
              <a:round/>
            </a:ln>
            <a:effectLst/>
          </c:spPr>
          <c:marker>
            <c:symbol val="circle"/>
            <c:size val="7"/>
            <c:spPr>
              <a:solidFill>
                <a:srgbClr val="FF0000"/>
              </a:solidFill>
              <a:ln w="9525">
                <a:noFill/>
              </a:ln>
              <a:effectLst/>
            </c:spPr>
          </c:marker>
          <c:trendline>
            <c:spPr>
              <a:ln w="19050" cap="rnd">
                <a:solidFill>
                  <a:schemeClr val="tx1"/>
                </a:solidFill>
                <a:prstDash val="solid"/>
              </a:ln>
              <a:effectLst/>
            </c:spPr>
            <c:trendlineType val="log"/>
            <c:dispRSqr val="0"/>
            <c:dispEq val="1"/>
            <c:trendlineLbl>
              <c:layout>
                <c:manualLayout>
                  <c:x val="-7.2583114610673669E-2"/>
                  <c:y val="0.11041302128900554"/>
                </c:manualLayout>
              </c:layout>
              <c:numFmt formatCode="General" sourceLinked="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sv-SE"/>
                </a:p>
              </c:txPr>
            </c:trendlineLbl>
          </c:trendline>
          <c:xVal>
            <c:numRef>
              <c:f>Förnyelsekostnad!$A$2:$A$11</c:f>
              <c:numCache>
                <c:formatCode>General</c:formatCode>
                <c:ptCount val="10"/>
                <c:pt idx="0">
                  <c:v>2</c:v>
                </c:pt>
                <c:pt idx="1">
                  <c:v>5</c:v>
                </c:pt>
                <c:pt idx="2">
                  <c:v>10</c:v>
                </c:pt>
                <c:pt idx="3">
                  <c:v>50</c:v>
                </c:pt>
                <c:pt idx="4">
                  <c:v>100</c:v>
                </c:pt>
                <c:pt idx="5">
                  <c:v>200</c:v>
                </c:pt>
                <c:pt idx="6">
                  <c:v>350</c:v>
                </c:pt>
                <c:pt idx="7">
                  <c:v>500</c:v>
                </c:pt>
                <c:pt idx="8">
                  <c:v>750</c:v>
                </c:pt>
                <c:pt idx="9">
                  <c:v>1400</c:v>
                </c:pt>
              </c:numCache>
            </c:numRef>
          </c:xVal>
          <c:yVal>
            <c:numRef>
              <c:f>Förnyelsekostnad!$B$2:$B$11</c:f>
              <c:numCache>
                <c:formatCode>General</c:formatCode>
                <c:ptCount val="10"/>
                <c:pt idx="0">
                  <c:v>4.09</c:v>
                </c:pt>
                <c:pt idx="1">
                  <c:v>3.63</c:v>
                </c:pt>
                <c:pt idx="2">
                  <c:v>2.5</c:v>
                </c:pt>
                <c:pt idx="3">
                  <c:v>2.0299999999999998</c:v>
                </c:pt>
                <c:pt idx="4">
                  <c:v>1.51</c:v>
                </c:pt>
                <c:pt idx="5">
                  <c:v>1.68</c:v>
                </c:pt>
                <c:pt idx="6">
                  <c:v>2.42</c:v>
                </c:pt>
                <c:pt idx="7">
                  <c:v>2.79</c:v>
                </c:pt>
                <c:pt idx="8">
                  <c:v>2.2799999999999998</c:v>
                </c:pt>
                <c:pt idx="9">
                  <c:v>1.31</c:v>
                </c:pt>
              </c:numCache>
            </c:numRef>
          </c:yVal>
          <c:smooth val="0"/>
          <c:extLst>
            <c:ext xmlns:c16="http://schemas.microsoft.com/office/drawing/2014/chart" uri="{C3380CC4-5D6E-409C-BE32-E72D297353CC}">
              <c16:uniqueId val="{00000000-B6DA-4356-929D-F65DBF8C81F7}"/>
            </c:ext>
          </c:extLst>
        </c:ser>
        <c:dLbls>
          <c:showLegendKey val="0"/>
          <c:showVal val="0"/>
          <c:showCatName val="0"/>
          <c:showSerName val="0"/>
          <c:showPercent val="0"/>
          <c:showBubbleSize val="0"/>
        </c:dLbls>
        <c:axId val="1181025408"/>
        <c:axId val="1082976959"/>
      </c:scatterChart>
      <c:valAx>
        <c:axId val="11810254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sv-SE" sz="1200"/>
                  <a:t>Produktion [GWh]</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82976959"/>
        <c:crosses val="autoZero"/>
        <c:crossBetween val="midCat"/>
      </c:valAx>
      <c:valAx>
        <c:axId val="1082976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sv-SE" sz="1200"/>
                  <a:t>Kostnad [Öre/KWh]</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18102540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scatterChart>
        <c:scatterStyle val="lineMarker"/>
        <c:varyColors val="0"/>
        <c:ser>
          <c:idx val="0"/>
          <c:order val="0"/>
          <c:tx>
            <c:strRef>
              <c:f>Produktionsintäkter!$B$1</c:f>
              <c:strCache>
                <c:ptCount val="1"/>
                <c:pt idx="0">
                  <c:v>Elpris [SEK/MWh]</c:v>
                </c:pt>
              </c:strCache>
            </c:strRef>
          </c:tx>
          <c:spPr>
            <a:ln w="19050" cap="rnd">
              <a:solidFill>
                <a:schemeClr val="tx1"/>
              </a:solidFill>
              <a:round/>
            </a:ln>
            <a:effectLst/>
          </c:spPr>
          <c:marker>
            <c:symbol val="none"/>
          </c:marker>
          <c:xVal>
            <c:numRef>
              <c:f>Produktionsintäkter!$A$2:$A$21</c:f>
              <c:numCache>
                <c:formatCode>General</c:formatCode>
                <c:ptCount val="20"/>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numCache>
            </c:numRef>
          </c:xVal>
          <c:yVal>
            <c:numRef>
              <c:f>Produktionsintäkter!$B$2:$B$21</c:f>
              <c:numCache>
                <c:formatCode>_-* #\ ##0\ [$kr-41D]_-;\-* #\ ##0\ [$kr-41D]_-;_-* "-"??\ [$kr-41D]_-;_-@_-</c:formatCode>
                <c:ptCount val="20"/>
                <c:pt idx="0">
                  <c:v>1426.6</c:v>
                </c:pt>
                <c:pt idx="1">
                  <c:v>781.5</c:v>
                </c:pt>
                <c:pt idx="2">
                  <c:v>634.9</c:v>
                </c:pt>
                <c:pt idx="3">
                  <c:v>586.5</c:v>
                </c:pt>
                <c:pt idx="4">
                  <c:v>580.79999999999995</c:v>
                </c:pt>
                <c:pt idx="5">
                  <c:v>565.20000000000005</c:v>
                </c:pt>
                <c:pt idx="6">
                  <c:v>549.70000000000005</c:v>
                </c:pt>
                <c:pt idx="7">
                  <c:v>545.6</c:v>
                </c:pt>
                <c:pt idx="8">
                  <c:v>541.5</c:v>
                </c:pt>
                <c:pt idx="9">
                  <c:v>537.4</c:v>
                </c:pt>
                <c:pt idx="10">
                  <c:v>533.29999999999995</c:v>
                </c:pt>
                <c:pt idx="11">
                  <c:v>529.1</c:v>
                </c:pt>
                <c:pt idx="12">
                  <c:v>525</c:v>
                </c:pt>
                <c:pt idx="13">
                  <c:v>520.9</c:v>
                </c:pt>
                <c:pt idx="14">
                  <c:v>516.79999999999995</c:v>
                </c:pt>
                <c:pt idx="15">
                  <c:v>512.6</c:v>
                </c:pt>
                <c:pt idx="16">
                  <c:v>508.5</c:v>
                </c:pt>
                <c:pt idx="17">
                  <c:v>504.4</c:v>
                </c:pt>
                <c:pt idx="18">
                  <c:v>500.3</c:v>
                </c:pt>
                <c:pt idx="19">
                  <c:v>496.1</c:v>
                </c:pt>
              </c:numCache>
            </c:numRef>
          </c:yVal>
          <c:smooth val="0"/>
          <c:extLst>
            <c:ext xmlns:c16="http://schemas.microsoft.com/office/drawing/2014/chart" uri="{C3380CC4-5D6E-409C-BE32-E72D297353CC}">
              <c16:uniqueId val="{00000000-EC80-437F-A648-D2C3595A131C}"/>
            </c:ext>
          </c:extLst>
        </c:ser>
        <c:dLbls>
          <c:showLegendKey val="0"/>
          <c:showVal val="0"/>
          <c:showCatName val="0"/>
          <c:showSerName val="0"/>
          <c:showPercent val="0"/>
          <c:showBubbleSize val="0"/>
        </c:dLbls>
        <c:axId val="1420144432"/>
        <c:axId val="1412615216"/>
      </c:scatterChart>
      <c:valAx>
        <c:axId val="14201444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År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412615216"/>
        <c:crosses val="autoZero"/>
        <c:crossBetween val="midCat"/>
      </c:valAx>
      <c:valAx>
        <c:axId val="1412615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Elpris</a:t>
                </a:r>
                <a:r>
                  <a:rPr lang="sv-SE" baseline="0"/>
                  <a:t> [SEK/MWh]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_-* #\ ##0\ [$kr-41D]_-;\-* #\ ##0\ [$kr-41D]_-;_-* &quot;-&quot;??\ [$kr-41D]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420144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8</xdr:col>
      <xdr:colOff>294153</xdr:colOff>
      <xdr:row>10</xdr:row>
      <xdr:rowOff>76200</xdr:rowOff>
    </xdr:from>
    <xdr:to>
      <xdr:col>20</xdr:col>
      <xdr:colOff>627529</xdr:colOff>
      <xdr:row>61</xdr:row>
      <xdr:rowOff>56029</xdr:rowOff>
    </xdr:to>
    <xdr:sp macro="" textlink="">
      <xdr:nvSpPr>
        <xdr:cNvPr id="2" name="TextBox 1">
          <a:extLst>
            <a:ext uri="{FF2B5EF4-FFF2-40B4-BE49-F238E27FC236}">
              <a16:creationId xmlns:a16="http://schemas.microsoft.com/office/drawing/2014/main" id="{EC99D434-EC29-2CC2-D18A-D6F86C4A3514}"/>
            </a:ext>
          </a:extLst>
        </xdr:cNvPr>
        <xdr:cNvSpPr txBox="1"/>
      </xdr:nvSpPr>
      <xdr:spPr>
        <a:xfrm>
          <a:off x="11242300" y="2059641"/>
          <a:ext cx="7594788" cy="9930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baseline="0">
              <a:solidFill>
                <a:schemeClr val="dk1"/>
              </a:solidFill>
              <a:effectLst/>
              <a:latin typeface="+mn-lt"/>
              <a:ea typeface="+mn-ea"/>
              <a:cs typeface="+mn-cs"/>
            </a:rPr>
            <a:t>Friskrivning</a:t>
          </a:r>
        </a:p>
        <a:p>
          <a:endParaRPr lang="sv-SE" sz="1100" b="1" u="sng" baseline="0">
            <a:solidFill>
              <a:schemeClr val="dk1"/>
            </a:solidFill>
            <a:effectLst/>
            <a:latin typeface="+mn-lt"/>
            <a:ea typeface="+mn-ea"/>
            <a:cs typeface="+mn-cs"/>
          </a:endParaRPr>
        </a:p>
        <a:p>
          <a:r>
            <a:rPr lang="sv-SE" sz="1100" b="0" u="none" baseline="0">
              <a:solidFill>
                <a:schemeClr val="dk1"/>
              </a:solidFill>
              <a:effectLst/>
              <a:latin typeface="+mn-lt"/>
              <a:ea typeface="+mn-ea"/>
              <a:cs typeface="+mn-cs"/>
            </a:rPr>
            <a:t>Detta dokumentet kan användas för att få en uppskattning av intäkter och utgifter i samband med en NAP anpassning. Siffrorna i detta dokument ska inte i några avseenden ses som korrekta. </a:t>
          </a:r>
        </a:p>
        <a:p>
          <a:endParaRPr lang="sv-SE" sz="1100" b="1" u="sng" baseline="0">
            <a:solidFill>
              <a:schemeClr val="dk1"/>
            </a:solidFill>
            <a:effectLst/>
            <a:latin typeface="+mn-lt"/>
            <a:ea typeface="+mn-ea"/>
            <a:cs typeface="+mn-cs"/>
          </a:endParaRPr>
        </a:p>
        <a:p>
          <a:r>
            <a:rPr lang="sv-SE" sz="1100" b="1" u="sng" baseline="0">
              <a:solidFill>
                <a:schemeClr val="dk1"/>
              </a:solidFill>
              <a:effectLst/>
              <a:latin typeface="+mn-lt"/>
              <a:ea typeface="+mn-ea"/>
              <a:cs typeface="+mn-cs"/>
            </a:rPr>
            <a:t>Information</a:t>
          </a:r>
        </a:p>
        <a:p>
          <a:endParaRPr lang="sv-SE" sz="1100" b="1" u="sng"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Det bästa resultatet fås genom att använda kostnader från aktuella utredningar till anläggningen. </a:t>
          </a:r>
          <a:r>
            <a:rPr lang="sv-SE" sz="1100" baseline="0"/>
            <a:t>Väldigt grovt uppskattade kostnader går att få fram genom att sätta "1" i cellen "Använd schablon" i detta dokument. Schablonvärdena räknas ut automatiskt baserat på vad fallhöjden på anläggningen är angiven till. </a:t>
          </a:r>
        </a:p>
        <a:p>
          <a:endParaRPr lang="sv-SE" sz="1100" baseline="0"/>
        </a:p>
        <a:p>
          <a:r>
            <a:rPr lang="sv-SE" sz="1100"/>
            <a:t>För</a:t>
          </a:r>
          <a:r>
            <a:rPr lang="sv-SE" sz="1100" baseline="0"/>
            <a:t> att räkna fram utbetalningen från Vattenkraftens miljöfond hänvisas det till deras beräkningssnurror "Beppe" och "Snurran".  Bägge dessa dokument finns att ladda ner på Vattenkraftens miljöfonds hemsida. "Beppe" används för att uppskatta produktionsförluster och används sedan som indata till "Snurran". Från "Snurran" fås ett belopp som motsvarar hur mycket kompensation som fås efter miljöanpassning eller utrivning. </a:t>
          </a:r>
        </a:p>
        <a:p>
          <a:endParaRPr lang="sv-SE" sz="1100" baseline="0"/>
        </a:p>
        <a:p>
          <a:r>
            <a:rPr lang="sv-SE" sz="1100"/>
            <a:t>Genom</a:t>
          </a:r>
          <a:r>
            <a:rPr lang="sv-SE" sz="1100" baseline="0"/>
            <a:t> att ändra procentsats i cellen "Variation i elprisprognosen" kan du se vad som händer med balansräkningen om NASDAQs elprognos ändras med en vald procentsats. Du kan även välja ett konstant elpris för hela perioden.</a:t>
          </a:r>
        </a:p>
        <a:p>
          <a:endParaRPr lang="sv-SE" sz="1100" baseline="0"/>
        </a:p>
        <a:p>
          <a:r>
            <a:rPr lang="sv-SE" sz="1100" baseline="0"/>
            <a:t>I detta dokument, som i Vattenkraftens miljöfonds beräkningsdokument, är tidshorisonten 20 år.</a:t>
          </a:r>
        </a:p>
        <a:p>
          <a:endParaRPr lang="sv-SE" sz="1100" baseline="0"/>
        </a:p>
        <a:p>
          <a:r>
            <a:rPr lang="sv-SE" sz="1100" baseline="0"/>
            <a:t>Om produktionsbegränsningen inte är mer än 5% av normalårsproduktionen utgår ingen ersättning för produktionsförluster. Mer om detta kan läsas i Snurrans dokumentation.</a:t>
          </a:r>
        </a:p>
        <a:p>
          <a:endParaRPr lang="sv-SE" sz="1100" baseline="0"/>
        </a:p>
        <a:p>
          <a:r>
            <a:rPr lang="sv-SE" sz="1100" b="1" u="sng" baseline="0"/>
            <a:t>Cellförklaring</a:t>
          </a:r>
        </a:p>
        <a:p>
          <a:endParaRPr lang="sv-SE" sz="1100" b="1" u="sng" baseline="0"/>
        </a:p>
        <a:p>
          <a:r>
            <a:rPr lang="sv-SE" sz="1100" b="0" i="1" u="none" baseline="0"/>
            <a:t>Indata från anläggningsägaren</a:t>
          </a:r>
        </a:p>
        <a:p>
          <a:r>
            <a:rPr lang="sv-SE" sz="1100" baseline="0"/>
            <a:t>A1. Anläggningens namn.</a:t>
          </a:r>
        </a:p>
        <a:p>
          <a:r>
            <a:rPr lang="sv-SE" sz="1100" baseline="0"/>
            <a:t>A2. Fallhöjd över dammen (ej kraftverkets fallhöjd) i meter. Används för schablonuträkning.</a:t>
          </a:r>
        </a:p>
        <a:p>
          <a:r>
            <a:rPr lang="sv-SE" sz="1100" baseline="0"/>
            <a:t>A3. Genomsnittlig årsproduktion innan miljöanpassning för anläggningen i GWh.</a:t>
          </a:r>
        </a:p>
        <a:p>
          <a:r>
            <a:rPr lang="sv-SE" sz="1100" baseline="0"/>
            <a:t>A4. Angivet medelflöde, data går att hitta på t.ex SMHI:s vattenwebb.</a:t>
          </a:r>
        </a:p>
        <a:p>
          <a:r>
            <a:rPr lang="sv-SE" sz="1100" baseline="0"/>
            <a:t>A5. Mintappning idag, används för att räkna fram en uppskattad årsproduktion efter NAP anpassning.</a:t>
          </a:r>
        </a:p>
        <a:p>
          <a:r>
            <a:rPr lang="sv-SE" sz="1100" baseline="0">
              <a:solidFill>
                <a:schemeClr val="dk1"/>
              </a:solidFill>
              <a:effectLst/>
              <a:latin typeface="+mn-lt"/>
              <a:ea typeface="+mn-ea"/>
              <a:cs typeface="+mn-cs"/>
            </a:rPr>
            <a:t>A6. Mintappning efter NAP anpassning, används för att räkna fram en uppskattad årsproduktion efter NAP anpassning.</a:t>
          </a:r>
        </a:p>
        <a:p>
          <a:r>
            <a:rPr lang="sv-SE" sz="1100" baseline="0">
              <a:solidFill>
                <a:schemeClr val="dk1"/>
              </a:solidFill>
              <a:effectLst/>
              <a:latin typeface="+mn-lt"/>
              <a:ea typeface="+mn-ea"/>
              <a:cs typeface="+mn-cs"/>
            </a:rPr>
            <a:t>A7. Välj om den uppskattade eller angivna årsproduktionen efter anpassning skall användas.</a:t>
          </a:r>
        </a:p>
        <a:p>
          <a:r>
            <a:rPr lang="sv-SE" sz="1100" baseline="0">
              <a:solidFill>
                <a:schemeClr val="dk1"/>
              </a:solidFill>
              <a:effectLst/>
              <a:latin typeface="+mn-lt"/>
              <a:ea typeface="+mn-ea"/>
              <a:cs typeface="+mn-cs"/>
            </a:rPr>
            <a:t>A8. Ange årsproduktion efter NAP anpassning, om du inte är intresserad av en uppskattning så behöver du inte fylla i (A3-A6).</a:t>
          </a:r>
          <a:endParaRPr lang="sv-SE" sz="1100" baseline="0"/>
        </a:p>
        <a:p>
          <a:r>
            <a:rPr lang="sv-SE" sz="1100" baseline="0"/>
            <a:t>A9. Framräknad ersättning från Snurran vid avyttring.</a:t>
          </a:r>
        </a:p>
        <a:p>
          <a:r>
            <a:rPr lang="sv-SE" sz="1100" baseline="0"/>
            <a:t>A10. </a:t>
          </a:r>
          <a:r>
            <a:rPr lang="sv-SE" sz="1100" baseline="0">
              <a:solidFill>
                <a:schemeClr val="dk1"/>
              </a:solidFill>
              <a:effectLst/>
              <a:latin typeface="+mn-lt"/>
              <a:ea typeface="+mn-ea"/>
              <a:cs typeface="+mn-cs"/>
            </a:rPr>
            <a:t>Framräknad ersättning från Snurran vid miljöanpassning.</a:t>
          </a:r>
          <a:endParaRPr lang="sv-SE" sz="1100" baseline="0"/>
        </a:p>
        <a:p>
          <a:endParaRPr lang="sv-SE" sz="1100" i="1">
            <a:solidFill>
              <a:schemeClr val="dk1"/>
            </a:solidFill>
            <a:effectLst/>
            <a:latin typeface="+mn-lt"/>
            <a:ea typeface="+mn-ea"/>
            <a:cs typeface="+mn-cs"/>
          </a:endParaRPr>
        </a:p>
        <a:p>
          <a:r>
            <a:rPr lang="sv-SE" sz="1100" i="1">
              <a:solidFill>
                <a:schemeClr val="dk1"/>
              </a:solidFill>
              <a:effectLst/>
              <a:latin typeface="+mn-lt"/>
              <a:ea typeface="+mn-ea"/>
              <a:cs typeface="+mn-cs"/>
            </a:rPr>
            <a:t>Inställningar</a:t>
          </a:r>
          <a:endParaRPr lang="sv-SE">
            <a:effectLst/>
          </a:endParaRPr>
        </a:p>
        <a:p>
          <a:r>
            <a:rPr lang="sv-SE" sz="1100">
              <a:solidFill>
                <a:schemeClr val="dk1"/>
              </a:solidFill>
              <a:effectLst/>
              <a:latin typeface="+mn-lt"/>
              <a:ea typeface="+mn-ea"/>
              <a:cs typeface="+mn-cs"/>
            </a:rPr>
            <a:t>B1. Schablonuträkning</a:t>
          </a:r>
          <a:r>
            <a:rPr lang="sv-SE" sz="1100" baseline="0">
              <a:solidFill>
                <a:schemeClr val="dk1"/>
              </a:solidFill>
              <a:effectLst/>
              <a:latin typeface="+mn-lt"/>
              <a:ea typeface="+mn-ea"/>
              <a:cs typeface="+mn-cs"/>
            </a:rPr>
            <a:t> eller ej. Om cellen sätts till 1 utförs schablonberäkningar. Om cellen sätts till 0 görs beräkningar baserat på data som anläggningsägaren fyllt i cellerna C1-C8.</a:t>
          </a:r>
        </a:p>
        <a:p>
          <a:r>
            <a:rPr lang="sv-SE" sz="1100" baseline="0">
              <a:solidFill>
                <a:schemeClr val="dk1"/>
              </a:solidFill>
              <a:effectLst/>
              <a:latin typeface="+mn-lt"/>
              <a:ea typeface="+mn-ea"/>
              <a:cs typeface="+mn-cs"/>
            </a:rPr>
            <a:t>B2. Välj om elprisprognosen eller ett konstant elprisvärde ska användas.</a:t>
          </a:r>
          <a:endParaRPr lang="sv-SE">
            <a:effectLst/>
          </a:endParaRPr>
        </a:p>
        <a:p>
          <a:r>
            <a:rPr lang="sv-SE" sz="1100">
              <a:solidFill>
                <a:schemeClr val="dk1"/>
              </a:solidFill>
              <a:effectLst/>
              <a:latin typeface="+mn-lt"/>
              <a:ea typeface="+mn-ea"/>
              <a:cs typeface="+mn-cs"/>
            </a:rPr>
            <a:t>B3. Variation i NASDAQs</a:t>
          </a:r>
          <a:r>
            <a:rPr lang="sv-SE" sz="1100" baseline="0">
              <a:solidFill>
                <a:schemeClr val="dk1"/>
              </a:solidFill>
              <a:effectLst/>
              <a:latin typeface="+mn-lt"/>
              <a:ea typeface="+mn-ea"/>
              <a:cs typeface="+mn-cs"/>
            </a:rPr>
            <a:t> elprisprognos, ett värde på 100 motsvarar NASDAQs prognos. I denna cell kan du höja eller sänka prognosen med en procentsats.</a:t>
          </a:r>
        </a:p>
        <a:p>
          <a:r>
            <a:rPr lang="sv-SE" sz="1100" baseline="0">
              <a:solidFill>
                <a:schemeClr val="dk1"/>
              </a:solidFill>
              <a:effectLst/>
              <a:latin typeface="+mn-lt"/>
              <a:ea typeface="+mn-ea"/>
              <a:cs typeface="+mn-cs"/>
            </a:rPr>
            <a:t>B4. Konstant elprisvärde.</a:t>
          </a:r>
          <a:endParaRPr lang="sv-SE">
            <a:effectLst/>
          </a:endParaRPr>
        </a:p>
        <a:p>
          <a:endParaRPr lang="sv-SE" sz="1100"/>
        </a:p>
        <a:p>
          <a:r>
            <a:rPr lang="sv-SE" sz="1100" i="1"/>
            <a:t>Indata från utredning, ej obligatorisk vid schablonberäkning</a:t>
          </a:r>
        </a:p>
        <a:p>
          <a:r>
            <a:rPr lang="sv-SE" sz="1100"/>
            <a:t>C1. Ansökningskostnader för anläggningen.</a:t>
          </a:r>
        </a:p>
        <a:p>
          <a:r>
            <a:rPr lang="sv-SE" sz="1100"/>
            <a:t>C2. Utrivningskostnad från utredning.</a:t>
          </a:r>
        </a:p>
        <a:p>
          <a:r>
            <a:rPr lang="sv-SE" sz="1100"/>
            <a:t>C3. Kostnad för uppströms fiskpassage från utredning</a:t>
          </a:r>
          <a:r>
            <a:rPr lang="sv-SE" sz="1100" baseline="0"/>
            <a:t>.</a:t>
          </a:r>
          <a:endParaRPr lang="sv-SE" sz="1100"/>
        </a:p>
        <a:p>
          <a:r>
            <a:rPr lang="sv-SE" sz="1100"/>
            <a:t>C4. Kostnad</a:t>
          </a:r>
          <a:r>
            <a:rPr lang="sv-SE" sz="1100" baseline="0"/>
            <a:t> för lösning för nedströms vandring.</a:t>
          </a:r>
          <a:endParaRPr lang="sv-SE" sz="1100"/>
        </a:p>
        <a:p>
          <a:r>
            <a:rPr lang="sv-SE" sz="1100"/>
            <a:t>C5. Övriga kostnader för miljöanpassning.</a:t>
          </a:r>
        </a:p>
        <a:p>
          <a:r>
            <a:rPr lang="sv-SE" sz="1100"/>
            <a:t>C6. Fastighetsskatt</a:t>
          </a:r>
          <a:r>
            <a:rPr lang="sv-SE" sz="1100" baseline="0"/>
            <a:t> - 0.5% av taxeringsvärdet på anläggningen per år. Skriv in skatten per år.</a:t>
          </a:r>
          <a:endParaRPr lang="sv-SE" sz="1100"/>
        </a:p>
        <a:p>
          <a:r>
            <a:rPr lang="sv-SE" sz="1100"/>
            <a:t>C7. F</a:t>
          </a:r>
          <a:r>
            <a:rPr lang="sv-SE" sz="1100" baseline="0"/>
            <a:t>örnyelsekostnad under den kommande 20-års perioden. Kan vara maskinrenovering, dammrenovering o.s.v.</a:t>
          </a:r>
          <a:endParaRPr lang="sv-SE" sz="1100"/>
        </a:p>
        <a:p>
          <a:r>
            <a:rPr lang="sv-SE" sz="1100"/>
            <a:t>C8. Drift och underhållskostnad per år.</a:t>
          </a:r>
        </a:p>
      </xdr:txBody>
    </xdr:sp>
    <xdr:clientData/>
  </xdr:twoCellAnchor>
  <xdr:twoCellAnchor>
    <xdr:from>
      <xdr:col>6</xdr:col>
      <xdr:colOff>38100</xdr:colOff>
      <xdr:row>11</xdr:row>
      <xdr:rowOff>110490</xdr:rowOff>
    </xdr:from>
    <xdr:to>
      <xdr:col>7</xdr:col>
      <xdr:colOff>845819</xdr:colOff>
      <xdr:row>33</xdr:row>
      <xdr:rowOff>152400</xdr:rowOff>
    </xdr:to>
    <xdr:graphicFrame macro="">
      <xdr:nvGraphicFramePr>
        <xdr:cNvPr id="3" name="Chart 2">
          <a:extLst>
            <a:ext uri="{FF2B5EF4-FFF2-40B4-BE49-F238E27FC236}">
              <a16:creationId xmlns:a16="http://schemas.microsoft.com/office/drawing/2014/main" id="{D383D3A8-93DB-413C-9156-4CB948D143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63</xdr:row>
      <xdr:rowOff>155203</xdr:rowOff>
    </xdr:from>
    <xdr:to>
      <xdr:col>2</xdr:col>
      <xdr:colOff>110490</xdr:colOff>
      <xdr:row>76</xdr:row>
      <xdr:rowOff>71269</xdr:rowOff>
    </xdr:to>
    <xdr:graphicFrame macro="">
      <xdr:nvGraphicFramePr>
        <xdr:cNvPr id="7" name="Chart 6">
          <a:extLst>
            <a:ext uri="{FF2B5EF4-FFF2-40B4-BE49-F238E27FC236}">
              <a16:creationId xmlns:a16="http://schemas.microsoft.com/office/drawing/2014/main" id="{77A0F8BF-87D2-F0B6-AF6A-867D110DB2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163382</xdr:colOff>
      <xdr:row>63</xdr:row>
      <xdr:rowOff>176158</xdr:rowOff>
    </xdr:from>
    <xdr:to>
      <xdr:col>6</xdr:col>
      <xdr:colOff>761552</xdr:colOff>
      <xdr:row>76</xdr:row>
      <xdr:rowOff>67908</xdr:rowOff>
    </xdr:to>
    <xdr:graphicFrame macro="">
      <xdr:nvGraphicFramePr>
        <xdr:cNvPr id="9" name="Chart 8">
          <a:extLst>
            <a:ext uri="{FF2B5EF4-FFF2-40B4-BE49-F238E27FC236}">
              <a16:creationId xmlns:a16="http://schemas.microsoft.com/office/drawing/2014/main" id="{6A7FACFB-898D-4896-AD49-2BE1CDDF0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112058</xdr:colOff>
      <xdr:row>0</xdr:row>
      <xdr:rowOff>33617</xdr:rowOff>
    </xdr:from>
    <xdr:to>
      <xdr:col>6</xdr:col>
      <xdr:colOff>1323998</xdr:colOff>
      <xdr:row>4</xdr:row>
      <xdr:rowOff>5602</xdr:rowOff>
    </xdr:to>
    <xdr:pic>
      <xdr:nvPicPr>
        <xdr:cNvPr id="4" name="Bildobjekt 2041193406" descr="En bild som visar text, Teckensnitt, logotyp, skärmbild&#10;&#10;Automatiskt genererad beskrivning">
          <a:extLst>
            <a:ext uri="{FF2B5EF4-FFF2-40B4-BE49-F238E27FC236}">
              <a16:creationId xmlns:a16="http://schemas.microsoft.com/office/drawing/2014/main" id="{38155C78-0834-4615-9122-155AEF71FBFE}"/>
            </a:ext>
          </a:extLst>
        </xdr:cNvPr>
        <xdr:cNvPicPr>
          <a:picLocks noChangeAspect="1"/>
        </xdr:cNvPicPr>
      </xdr:nvPicPr>
      <xdr:blipFill>
        <a:blip xmlns:r="http://schemas.openxmlformats.org/officeDocument/2006/relationships" r:embed="rId4"/>
        <a:stretch>
          <a:fillRect/>
        </a:stretch>
      </xdr:blipFill>
      <xdr:spPr>
        <a:xfrm>
          <a:off x="4515970" y="33617"/>
          <a:ext cx="4360793" cy="812426"/>
        </a:xfrm>
        <a:prstGeom prst="rect">
          <a:avLst/>
        </a:prstGeom>
      </xdr:spPr>
    </xdr:pic>
    <xdr:clientData/>
  </xdr:twoCellAnchor>
  <xdr:twoCellAnchor>
    <xdr:from>
      <xdr:col>2</xdr:col>
      <xdr:colOff>89647</xdr:colOff>
      <xdr:row>4</xdr:row>
      <xdr:rowOff>112059</xdr:rowOff>
    </xdr:from>
    <xdr:to>
      <xdr:col>6</xdr:col>
      <xdr:colOff>1255059</xdr:colOff>
      <xdr:row>8</xdr:row>
      <xdr:rowOff>56029</xdr:rowOff>
    </xdr:to>
    <xdr:sp macro="" textlink="">
      <xdr:nvSpPr>
        <xdr:cNvPr id="5" name="TextBox 4">
          <a:extLst>
            <a:ext uri="{FF2B5EF4-FFF2-40B4-BE49-F238E27FC236}">
              <a16:creationId xmlns:a16="http://schemas.microsoft.com/office/drawing/2014/main" id="{230EE306-C314-D87D-1D61-FB33A5DDA56E}"/>
            </a:ext>
          </a:extLst>
        </xdr:cNvPr>
        <xdr:cNvSpPr txBox="1"/>
      </xdr:nvSpPr>
      <xdr:spPr>
        <a:xfrm>
          <a:off x="4493559" y="952500"/>
          <a:ext cx="4314265" cy="705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Denna rapport är framtagen inom EU-projektet LIFE IP Rich Waters. Ansvaret för innehållet ligger helt hos författarna. Innehållet återspeglar inte Europeiska unionens hållning.</a:t>
          </a: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171450</xdr:colOff>
      <xdr:row>1</xdr:row>
      <xdr:rowOff>114301</xdr:rowOff>
    </xdr:from>
    <xdr:to>
      <xdr:col>11</xdr:col>
      <xdr:colOff>581025</xdr:colOff>
      <xdr:row>9</xdr:row>
      <xdr:rowOff>190501</xdr:rowOff>
    </xdr:to>
    <xdr:sp macro="" textlink="">
      <xdr:nvSpPr>
        <xdr:cNvPr id="2" name="TextBox 1">
          <a:extLst>
            <a:ext uri="{FF2B5EF4-FFF2-40B4-BE49-F238E27FC236}">
              <a16:creationId xmlns:a16="http://schemas.microsoft.com/office/drawing/2014/main" id="{7B88406B-1753-B812-54C6-679E5458BC02}"/>
            </a:ext>
          </a:extLst>
        </xdr:cNvPr>
        <xdr:cNvSpPr txBox="1"/>
      </xdr:nvSpPr>
      <xdr:spPr>
        <a:xfrm>
          <a:off x="6877050" y="304801"/>
          <a:ext cx="4067175"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Schablonuträkningarna</a:t>
          </a:r>
          <a:r>
            <a:rPr lang="sv-SE" sz="1100" baseline="0"/>
            <a:t> i denna flik är en sammanställning av uträkningarna som genomförs i flikarna "Miljöåtgärder kostnader", "Drift och underhåll", "Förnyelsekostnad" samt "Produktionsintäkter.</a:t>
          </a:r>
        </a:p>
        <a:p>
          <a:endParaRPr lang="sv-SE" sz="1100" baseline="0"/>
        </a:p>
        <a:p>
          <a:r>
            <a:rPr lang="sv-SE" sz="1100"/>
            <a:t>En</a:t>
          </a:r>
          <a:r>
            <a:rPr lang="sv-SE" sz="1100" baseline="0"/>
            <a:t> kortare förklaring om uträkningarna kan hittas i respektive flik.</a:t>
          </a:r>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114300</xdr:colOff>
      <xdr:row>1</xdr:row>
      <xdr:rowOff>66675</xdr:rowOff>
    </xdr:from>
    <xdr:to>
      <xdr:col>8</xdr:col>
      <xdr:colOff>600075</xdr:colOff>
      <xdr:row>24</xdr:row>
      <xdr:rowOff>171450</xdr:rowOff>
    </xdr:to>
    <xdr:sp macro="" textlink="">
      <xdr:nvSpPr>
        <xdr:cNvPr id="2" name="TextBox 1">
          <a:extLst>
            <a:ext uri="{FF2B5EF4-FFF2-40B4-BE49-F238E27FC236}">
              <a16:creationId xmlns:a16="http://schemas.microsoft.com/office/drawing/2014/main" id="{BFB1C3F3-0E4B-A89B-1E84-251AD9F40BAF}"/>
            </a:ext>
          </a:extLst>
        </xdr:cNvPr>
        <xdr:cNvSpPr txBox="1"/>
      </xdr:nvSpPr>
      <xdr:spPr>
        <a:xfrm>
          <a:off x="6229350" y="257175"/>
          <a:ext cx="3295650" cy="452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Denna flik är tänkt att användas som underlag</a:t>
          </a:r>
          <a:r>
            <a:rPr lang="sv-SE" sz="1100" baseline="0"/>
            <a:t> för en extremt grov uppskattning av schablonbelopp för diverse miljöätgårder för dammar.</a:t>
          </a:r>
        </a:p>
        <a:p>
          <a:endParaRPr lang="sv-SE" sz="1100" baseline="0"/>
        </a:p>
        <a:p>
          <a:r>
            <a:rPr lang="sv-SE" sz="1100" baseline="0"/>
            <a:t>I denna flik följer ett par schablonmässiga uträkningar för två olika miljöanpassningar:</a:t>
          </a:r>
        </a:p>
        <a:p>
          <a:r>
            <a:rPr lang="sv-SE" sz="1100" baseline="0"/>
            <a:t>- Dammutrivning [1]</a:t>
          </a:r>
        </a:p>
        <a:p>
          <a:r>
            <a:rPr lang="sv-SE" sz="1100" baseline="0"/>
            <a:t>- Faunapassage i form av ett omlöp [2-5]</a:t>
          </a:r>
        </a:p>
        <a:p>
          <a:endParaRPr lang="sv-SE" sz="1100" baseline="0"/>
        </a:p>
        <a:p>
          <a:r>
            <a:rPr lang="sv-SE" sz="1100" baseline="0"/>
            <a:t>Märk väl att alla anpassningar är platsberoende och att ett schablonbelopp aldrig kan fånga helhetskostnaden för en specifik anläggning.</a:t>
          </a:r>
        </a:p>
        <a:p>
          <a:endParaRPr lang="sv-SE" sz="1100" baseline="0"/>
        </a:p>
        <a:p>
          <a:r>
            <a:rPr lang="sv-SE" sz="1100"/>
            <a:t>Bäst</a:t>
          </a:r>
          <a:r>
            <a:rPr lang="sv-SE" sz="1100" baseline="0"/>
            <a:t> resultat fås av en utredning för den specifika dammanläggningen i fråga.</a:t>
          </a:r>
        </a:p>
        <a:p>
          <a:endParaRPr lang="sv-SE" sz="1100" baseline="0"/>
        </a:p>
        <a:p>
          <a:r>
            <a:rPr lang="sv-SE" sz="1100" baseline="0"/>
            <a:t>[1] Restaurering av vattendrag med dammar: Med exempel på dammutrivningar, Sportfiskarna, 2018</a:t>
          </a:r>
        </a:p>
        <a:p>
          <a:r>
            <a:rPr lang="sv-SE" sz="1100" baseline="0"/>
            <a:t>[2] Förstudie Miljöåtgärde: Blankafors, Norconsult 2021</a:t>
          </a:r>
        </a:p>
        <a:p>
          <a:pPr marL="0" marR="0" lvl="0" indent="0" defTabSz="914400" eaLnBrk="1" fontAlgn="auto" latinLnBrk="0" hangingPunct="1">
            <a:lnSpc>
              <a:spcPct val="100000"/>
            </a:lnSpc>
            <a:spcBef>
              <a:spcPts val="0"/>
            </a:spcBef>
            <a:spcAft>
              <a:spcPts val="0"/>
            </a:spcAft>
            <a:buClrTx/>
            <a:buSzTx/>
            <a:buFontTx/>
            <a:buNone/>
            <a:tabLst/>
            <a:defRPr/>
          </a:pPr>
          <a:r>
            <a:rPr lang="sv-SE" sz="1100"/>
            <a:t>[3] </a:t>
          </a:r>
          <a:r>
            <a:rPr lang="sv-SE" sz="1100" baseline="0">
              <a:solidFill>
                <a:schemeClr val="dk1"/>
              </a:solidFill>
              <a:effectLst/>
              <a:latin typeface="+mn-lt"/>
              <a:ea typeface="+mn-ea"/>
              <a:cs typeface="+mn-cs"/>
            </a:rPr>
            <a:t>Bjurbäcksälven, Storfors: Förslag till miljöåtgärder vid Källsfallet och Bjurbäcksdammen, Norconsult 2021</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[4] Förstudie Miljöåtgärde: Älvestorp, Norconsult 2021</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[5] Kostnadskalkly för Habgydammen i Nora, Norconsult 2014</a:t>
          </a:r>
          <a:endParaRPr lang="sv-SE">
            <a:effectLst/>
          </a:endParaRPr>
        </a:p>
        <a:p>
          <a:endParaRPr lang="sv-SE" sz="1100"/>
        </a:p>
      </xdr:txBody>
    </xdr:sp>
    <xdr:clientData/>
  </xdr:twoCellAnchor>
  <xdr:twoCellAnchor>
    <xdr:from>
      <xdr:col>4</xdr:col>
      <xdr:colOff>133350</xdr:colOff>
      <xdr:row>25</xdr:row>
      <xdr:rowOff>38100</xdr:rowOff>
    </xdr:from>
    <xdr:to>
      <xdr:col>8</xdr:col>
      <xdr:colOff>590550</xdr:colOff>
      <xdr:row>38</xdr:row>
      <xdr:rowOff>142875</xdr:rowOff>
    </xdr:to>
    <xdr:sp macro="" textlink="">
      <xdr:nvSpPr>
        <xdr:cNvPr id="3" name="TextBox 2">
          <a:extLst>
            <a:ext uri="{FF2B5EF4-FFF2-40B4-BE49-F238E27FC236}">
              <a16:creationId xmlns:a16="http://schemas.microsoft.com/office/drawing/2014/main" id="{8A55B203-9FD0-4CE0-3CB1-E69C2A62AA58}"/>
            </a:ext>
          </a:extLst>
        </xdr:cNvPr>
        <xdr:cNvSpPr txBox="1"/>
      </xdr:nvSpPr>
      <xdr:spPr>
        <a:xfrm>
          <a:off x="6248400" y="4838700"/>
          <a:ext cx="3267075" cy="2581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Då</a:t>
          </a:r>
          <a:r>
            <a:rPr lang="sv-SE" sz="1100" baseline="0"/>
            <a:t> det är väldigt varierande fall som använts för att räkna fram de olika schablonkostnaderna för fiskvägen så används istället en </a:t>
          </a:r>
          <a:r>
            <a:rPr lang="sv-SE" sz="1100" i="1" baseline="0"/>
            <a:t>ungefärlig</a:t>
          </a:r>
          <a:r>
            <a:rPr lang="sv-SE" sz="1100" baseline="0"/>
            <a:t> uppskattning där kostnaden för att implementera en uppströmslösning beräknas genom att ange en fallhöjd på dammen.</a:t>
          </a:r>
        </a:p>
        <a:p>
          <a:endParaRPr lang="sv-SE" sz="1100" baseline="0"/>
        </a:p>
        <a:p>
          <a:r>
            <a:rPr lang="sv-SE" sz="1100"/>
            <a:t>Lösningen</a:t>
          </a:r>
          <a:r>
            <a:rPr lang="sv-SE" sz="1100" baseline="0"/>
            <a:t> för nedströms vandring är även den en kvalificerad gissning och beräknas genom att ange en årsproduktion i GWh.</a:t>
          </a:r>
        </a:p>
        <a:p>
          <a:endParaRPr lang="sv-SE" sz="1100" baseline="0"/>
        </a:p>
        <a:p>
          <a:r>
            <a:rPr lang="sv-SE" sz="1100" baseline="0"/>
            <a:t>Bägge dessa schablonvärdena är </a:t>
          </a:r>
          <a:r>
            <a:rPr lang="sv-SE" sz="1100" i="1" baseline="0"/>
            <a:t>väldigt </a:t>
          </a:r>
          <a:r>
            <a:rPr lang="sv-SE" sz="1100" baseline="0"/>
            <a:t>grovt uppskattade och ska på sin höjd ses som en fingervisning.</a:t>
          </a:r>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76200</xdr:colOff>
      <xdr:row>0</xdr:row>
      <xdr:rowOff>114300</xdr:rowOff>
    </xdr:from>
    <xdr:to>
      <xdr:col>19</xdr:col>
      <xdr:colOff>485775</xdr:colOff>
      <xdr:row>12</xdr:row>
      <xdr:rowOff>0</xdr:rowOff>
    </xdr:to>
    <xdr:sp macro="" textlink="">
      <xdr:nvSpPr>
        <xdr:cNvPr id="2" name="TextBox 1">
          <a:extLst>
            <a:ext uri="{FF2B5EF4-FFF2-40B4-BE49-F238E27FC236}">
              <a16:creationId xmlns:a16="http://schemas.microsoft.com/office/drawing/2014/main" id="{3014DB29-5EF0-B299-A18B-6E2FD3861B01}"/>
            </a:ext>
          </a:extLst>
        </xdr:cNvPr>
        <xdr:cNvSpPr txBox="1"/>
      </xdr:nvSpPr>
      <xdr:spPr>
        <a:xfrm>
          <a:off x="10153650" y="114300"/>
          <a:ext cx="3457575" cy="217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Uträkningen i denna flik är baserad på materialet som presenteras i "Snurran</a:t>
          </a:r>
          <a:r>
            <a:rPr lang="sv-SE" sz="1100" baseline="0"/>
            <a:t> - Kalkyl före åtgärd". Där finns ett förhållande för drift och underhållskostnad i öre/KWh som funktion av produktionen i GWh.</a:t>
          </a:r>
        </a:p>
        <a:p>
          <a:endParaRPr lang="sv-SE" sz="1100" baseline="0"/>
        </a:p>
        <a:p>
          <a:r>
            <a:rPr lang="sv-SE" sz="1100" baseline="0"/>
            <a:t>kostnad = -2.12*ln(GWh)+16.53</a:t>
          </a:r>
        </a:p>
        <a:p>
          <a:endParaRPr lang="sv-SE" sz="1100" baseline="0"/>
        </a:p>
        <a:p>
          <a:r>
            <a:rPr lang="sv-SE" sz="1100" baseline="0"/>
            <a:t>Uträkningen är baserad på data från Lantmäteriet. Kostnaderna för kraftverk som producerar mindre än 2 GWh antas inte vara högre än för 2 GWh.</a:t>
          </a:r>
        </a:p>
        <a:p>
          <a:endParaRPr lang="sv-SE" sz="1100"/>
        </a:p>
      </xdr:txBody>
    </xdr:sp>
    <xdr:clientData/>
  </xdr:twoCellAnchor>
  <xdr:twoCellAnchor>
    <xdr:from>
      <xdr:col>3</xdr:col>
      <xdr:colOff>36658</xdr:colOff>
      <xdr:row>0</xdr:row>
      <xdr:rowOff>138111</xdr:rowOff>
    </xdr:from>
    <xdr:to>
      <xdr:col>14</xdr:col>
      <xdr:colOff>19932</xdr:colOff>
      <xdr:row>20</xdr:row>
      <xdr:rowOff>47625</xdr:rowOff>
    </xdr:to>
    <xdr:graphicFrame macro="">
      <xdr:nvGraphicFramePr>
        <xdr:cNvPr id="3" name="Chart 2">
          <a:extLst>
            <a:ext uri="{FF2B5EF4-FFF2-40B4-BE49-F238E27FC236}">
              <a16:creationId xmlns:a16="http://schemas.microsoft.com/office/drawing/2014/main" id="{8FB94829-850A-8ECA-6812-689BB0FFB2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19050</xdr:colOff>
      <xdr:row>0</xdr:row>
      <xdr:rowOff>85725</xdr:rowOff>
    </xdr:from>
    <xdr:to>
      <xdr:col>19</xdr:col>
      <xdr:colOff>428625</xdr:colOff>
      <xdr:row>27</xdr:row>
      <xdr:rowOff>47625</xdr:rowOff>
    </xdr:to>
    <xdr:sp macro="" textlink="">
      <xdr:nvSpPr>
        <xdr:cNvPr id="2" name="TextBox 1">
          <a:extLst>
            <a:ext uri="{FF2B5EF4-FFF2-40B4-BE49-F238E27FC236}">
              <a16:creationId xmlns:a16="http://schemas.microsoft.com/office/drawing/2014/main" id="{8A7A2BA2-B554-43A2-8EF7-5276A8E85A4F}"/>
            </a:ext>
          </a:extLst>
        </xdr:cNvPr>
        <xdr:cNvSpPr txBox="1"/>
      </xdr:nvSpPr>
      <xdr:spPr>
        <a:xfrm>
          <a:off x="9705975" y="85725"/>
          <a:ext cx="3457575" cy="510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Uträkningen i denna flik är baserad på materialet som presenteras i "Snurran</a:t>
          </a:r>
          <a:r>
            <a:rPr lang="sv-SE" sz="1100" baseline="0"/>
            <a:t> - Kalkyl före åtgärd". Där finns ett förhållande för förnyelsekostnad i öre/KWh som funktion av årsproduktionen i GWh.</a:t>
          </a:r>
        </a:p>
        <a:p>
          <a:endParaRPr lang="sv-SE" sz="1100" baseline="0"/>
        </a:p>
        <a:p>
          <a:r>
            <a:rPr lang="sv-SE" sz="1100" baseline="0"/>
            <a:t>kostnad = -0.29*ln(GWh)+3.73</a:t>
          </a:r>
        </a:p>
        <a:p>
          <a:endParaRPr lang="sv-SE" sz="1100" baseline="0"/>
        </a:p>
        <a:p>
          <a:r>
            <a:rPr lang="sv-SE" sz="1100" baseline="0"/>
            <a:t>Uträkningen är baserad på data från Lantmäteriet. Kostnaderna för kraftverk som producerar mindre än 2 GWh antas inte vara högre än för 2 GWh.</a:t>
          </a:r>
        </a:p>
        <a:p>
          <a:endParaRPr lang="sv-SE" sz="1100"/>
        </a:p>
      </xdr:txBody>
    </xdr:sp>
    <xdr:clientData/>
  </xdr:twoCellAnchor>
  <xdr:twoCellAnchor>
    <xdr:from>
      <xdr:col>2</xdr:col>
      <xdr:colOff>590550</xdr:colOff>
      <xdr:row>0</xdr:row>
      <xdr:rowOff>80961</xdr:rowOff>
    </xdr:from>
    <xdr:to>
      <xdr:col>13</xdr:col>
      <xdr:colOff>465137</xdr:colOff>
      <xdr:row>22</xdr:row>
      <xdr:rowOff>85724</xdr:rowOff>
    </xdr:to>
    <xdr:graphicFrame macro="">
      <xdr:nvGraphicFramePr>
        <xdr:cNvPr id="3" name="Chart 2">
          <a:extLst>
            <a:ext uri="{FF2B5EF4-FFF2-40B4-BE49-F238E27FC236}">
              <a16:creationId xmlns:a16="http://schemas.microsoft.com/office/drawing/2014/main" id="{1A9215E8-328E-9C94-25CA-193278E8B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147637</xdr:colOff>
      <xdr:row>0</xdr:row>
      <xdr:rowOff>161925</xdr:rowOff>
    </xdr:from>
    <xdr:to>
      <xdr:col>12</xdr:col>
      <xdr:colOff>452437</xdr:colOff>
      <xdr:row>15</xdr:row>
      <xdr:rowOff>47625</xdr:rowOff>
    </xdr:to>
    <xdr:graphicFrame macro="">
      <xdr:nvGraphicFramePr>
        <xdr:cNvPr id="2" name="Chart 1">
          <a:extLst>
            <a:ext uri="{FF2B5EF4-FFF2-40B4-BE49-F238E27FC236}">
              <a16:creationId xmlns:a16="http://schemas.microsoft.com/office/drawing/2014/main" id="{D36C5D34-6909-F050-3526-500A3D463C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228600</xdr:colOff>
      <xdr:row>15</xdr:row>
      <xdr:rowOff>95250</xdr:rowOff>
    </xdr:from>
    <xdr:to>
      <xdr:col>9</xdr:col>
      <xdr:colOff>123825</xdr:colOff>
      <xdr:row>26</xdr:row>
      <xdr:rowOff>133350</xdr:rowOff>
    </xdr:to>
    <xdr:sp macro="" textlink="">
      <xdr:nvSpPr>
        <xdr:cNvPr id="3" name="TextBox 2">
          <a:extLst>
            <a:ext uri="{FF2B5EF4-FFF2-40B4-BE49-F238E27FC236}">
              <a16:creationId xmlns:a16="http://schemas.microsoft.com/office/drawing/2014/main" id="{B7DC6872-3355-4F31-6B3B-829E30EC8F83}"/>
            </a:ext>
          </a:extLst>
        </xdr:cNvPr>
        <xdr:cNvSpPr txBox="1"/>
      </xdr:nvSpPr>
      <xdr:spPr>
        <a:xfrm>
          <a:off x="6991350" y="2952750"/>
          <a:ext cx="2333625"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Elpriserna i denna fliken är hämtade från "Kalkyl - Före åtgärd"</a:t>
          </a:r>
          <a:r>
            <a:rPr lang="sv-SE" sz="1100" baseline="0"/>
            <a:t> fliken i "Snurran". Snurran uppdateras varje kvartal med nya elpriser. Det görs inte automatiskt i denna fil. Säkerställ att det är samma värden som i "Snurran" innan du analyser priserna i denna fil.</a:t>
          </a:r>
        </a:p>
        <a:p>
          <a:endParaRPr lang="sv-SE" sz="1100" baseline="0"/>
        </a:p>
        <a:p>
          <a:r>
            <a:rPr lang="sv-SE" sz="1100" baseline="0"/>
            <a:t>Elcertifickat, utnyttjandefaktor och inflation har inte tagits i beaktande. </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2710-9C40-4B8B-B37E-EC8BE8AA8683}">
  <sheetPr codeName="Sheet1">
    <tabColor rgb="FFFFFF00"/>
    <pageSetUpPr fitToPage="1"/>
  </sheetPr>
  <dimension ref="A1:H63"/>
  <sheetViews>
    <sheetView tabSelected="1" topLeftCell="A9" zoomScale="85" zoomScaleNormal="85" workbookViewId="0">
      <selection activeCell="T69" sqref="T69"/>
    </sheetView>
  </sheetViews>
  <sheetFormatPr defaultRowHeight="15" x14ac:dyDescent="0.25"/>
  <cols>
    <col min="1" max="1" width="1.85546875" customWidth="1"/>
    <col min="2" max="2" width="64.140625" bestFit="1" customWidth="1"/>
    <col min="3" max="3" width="17.5703125" bestFit="1" customWidth="1"/>
    <col min="4" max="4" width="22.140625" bestFit="1" customWidth="1"/>
    <col min="5" max="5" width="3.85546875" customWidth="1"/>
    <col min="6" max="6" width="3.5703125" customWidth="1"/>
    <col min="7" max="7" width="36.140625" bestFit="1" customWidth="1"/>
    <col min="8" max="8" width="14.28515625" customWidth="1"/>
    <col min="9" max="9" width="9" bestFit="1" customWidth="1"/>
    <col min="21" max="21" width="11.42578125" customWidth="1"/>
    <col min="25" max="25" width="4.140625" customWidth="1"/>
    <col min="26" max="26" width="4.5703125" customWidth="1"/>
  </cols>
  <sheetData>
    <row r="1" spans="1:8" ht="21" x14ac:dyDescent="0.35">
      <c r="B1" s="92" t="s">
        <v>97</v>
      </c>
    </row>
    <row r="2" spans="1:8" x14ac:dyDescent="0.25">
      <c r="B2" t="s">
        <v>100</v>
      </c>
    </row>
    <row r="3" spans="1:8" x14ac:dyDescent="0.25">
      <c r="B3" t="s">
        <v>99</v>
      </c>
    </row>
    <row r="11" spans="1:8" ht="18.75" x14ac:dyDescent="0.3">
      <c r="A11" s="3"/>
      <c r="B11" s="26"/>
      <c r="C11" s="26"/>
      <c r="D11" s="26"/>
      <c r="E11" s="27"/>
      <c r="G11" s="96" t="s">
        <v>82</v>
      </c>
      <c r="H11" s="97"/>
    </row>
    <row r="12" spans="1:8" ht="15.75" x14ac:dyDescent="0.25">
      <c r="A12" s="4"/>
      <c r="B12" s="100" t="s">
        <v>68</v>
      </c>
      <c r="C12" s="101"/>
      <c r="D12" s="58" t="s">
        <v>48</v>
      </c>
      <c r="E12" s="28"/>
      <c r="G12" s="43"/>
      <c r="H12" s="8"/>
    </row>
    <row r="13" spans="1:8" x14ac:dyDescent="0.25">
      <c r="A13" s="4"/>
      <c r="B13" s="3" t="s">
        <v>36</v>
      </c>
      <c r="C13" s="22" t="s">
        <v>62</v>
      </c>
      <c r="D13" s="59" t="s">
        <v>67</v>
      </c>
      <c r="E13" s="28"/>
      <c r="G13" s="43"/>
      <c r="H13" s="8"/>
    </row>
    <row r="14" spans="1:8" ht="15" customHeight="1" x14ac:dyDescent="0.25">
      <c r="A14" s="48"/>
      <c r="B14" s="4" t="s">
        <v>37</v>
      </c>
      <c r="C14" s="63">
        <v>5</v>
      </c>
      <c r="D14" s="86" t="s">
        <v>80</v>
      </c>
      <c r="E14" s="28"/>
      <c r="G14" s="43"/>
      <c r="H14" s="8"/>
    </row>
    <row r="15" spans="1:8" ht="15.75" x14ac:dyDescent="0.25">
      <c r="A15" s="48"/>
      <c r="B15" s="87" t="s">
        <v>75</v>
      </c>
      <c r="C15" s="88"/>
      <c r="D15" s="104" t="s">
        <v>101</v>
      </c>
      <c r="E15" s="28"/>
      <c r="G15" s="43"/>
      <c r="H15" s="8"/>
    </row>
    <row r="16" spans="1:8" x14ac:dyDescent="0.25">
      <c r="A16" s="48"/>
      <c r="B16" s="4" t="s">
        <v>76</v>
      </c>
      <c r="C16" s="63">
        <v>5</v>
      </c>
      <c r="D16" s="105"/>
      <c r="E16" s="28"/>
      <c r="G16" s="43"/>
      <c r="H16" s="8"/>
    </row>
    <row r="17" spans="1:8" x14ac:dyDescent="0.25">
      <c r="A17" s="48"/>
      <c r="B17" s="4" t="s">
        <v>77</v>
      </c>
      <c r="C17" s="81">
        <v>3</v>
      </c>
      <c r="D17" s="73" t="s">
        <v>53</v>
      </c>
      <c r="E17" s="28"/>
      <c r="G17" s="43"/>
      <c r="H17" s="8"/>
    </row>
    <row r="18" spans="1:8" x14ac:dyDescent="0.25">
      <c r="A18" s="48"/>
      <c r="B18" s="4" t="s">
        <v>78</v>
      </c>
      <c r="C18" s="63">
        <v>0</v>
      </c>
      <c r="D18" s="60" t="s">
        <v>102</v>
      </c>
      <c r="E18" s="28"/>
      <c r="G18" s="43"/>
      <c r="H18" s="8"/>
    </row>
    <row r="19" spans="1:8" x14ac:dyDescent="0.25">
      <c r="A19" s="4"/>
      <c r="B19" s="4" t="s">
        <v>79</v>
      </c>
      <c r="C19" s="63">
        <v>0.5</v>
      </c>
      <c r="D19" s="95" t="s">
        <v>103</v>
      </c>
      <c r="E19" s="28"/>
      <c r="G19" s="43"/>
      <c r="H19" s="8"/>
    </row>
    <row r="20" spans="1:8" x14ac:dyDescent="0.25">
      <c r="A20" s="4"/>
      <c r="B20" s="19" t="s">
        <v>84</v>
      </c>
      <c r="C20" s="89">
        <v>1</v>
      </c>
      <c r="D20" s="46"/>
      <c r="E20" s="28"/>
      <c r="G20" s="43"/>
      <c r="H20" s="8"/>
    </row>
    <row r="21" spans="1:8" x14ac:dyDescent="0.25">
      <c r="A21" s="4"/>
      <c r="B21" s="10" t="s">
        <v>81</v>
      </c>
      <c r="C21" s="91">
        <f>C16*(((C17-C19)/(C17-C18)))</f>
        <v>4.166666666666667</v>
      </c>
      <c r="D21" s="46"/>
      <c r="E21" s="28"/>
      <c r="G21" s="43"/>
      <c r="H21" s="8"/>
    </row>
    <row r="22" spans="1:8" x14ac:dyDescent="0.25">
      <c r="A22" s="48"/>
      <c r="B22" s="93" t="s">
        <v>104</v>
      </c>
      <c r="C22" s="63">
        <v>1.75</v>
      </c>
      <c r="D22" s="46"/>
      <c r="E22" s="28"/>
      <c r="G22" s="43"/>
      <c r="H22" s="8"/>
    </row>
    <row r="23" spans="1:8" ht="15" customHeight="1" x14ac:dyDescent="0.25">
      <c r="A23" s="48"/>
      <c r="B23" s="87" t="s">
        <v>69</v>
      </c>
      <c r="C23" s="88"/>
      <c r="D23" s="46"/>
      <c r="E23" s="28"/>
      <c r="G23" s="43"/>
      <c r="H23" s="8"/>
    </row>
    <row r="24" spans="1:8" x14ac:dyDescent="0.25">
      <c r="A24" s="4"/>
      <c r="B24" s="4" t="s">
        <v>86</v>
      </c>
      <c r="C24" s="64">
        <f>10.9*10^6</f>
        <v>10900000</v>
      </c>
      <c r="D24" s="46"/>
      <c r="E24" s="28"/>
      <c r="G24" s="43"/>
      <c r="H24" s="8"/>
    </row>
    <row r="25" spans="1:8" x14ac:dyDescent="0.25">
      <c r="A25" s="4"/>
      <c r="B25" s="30" t="s">
        <v>87</v>
      </c>
      <c r="C25" s="65">
        <f>2.6*10^6</f>
        <v>2600000</v>
      </c>
      <c r="D25" s="46"/>
      <c r="E25" s="28"/>
      <c r="G25" s="43"/>
      <c r="H25" s="8"/>
    </row>
    <row r="26" spans="1:8" x14ac:dyDescent="0.25">
      <c r="A26" s="46"/>
      <c r="B26" s="46" t="s">
        <v>20</v>
      </c>
      <c r="C26" s="46"/>
      <c r="D26" s="46"/>
      <c r="E26" s="28"/>
      <c r="G26" s="43"/>
      <c r="H26" s="8"/>
    </row>
    <row r="27" spans="1:8" x14ac:dyDescent="0.25">
      <c r="A27" s="4"/>
      <c r="B27" s="46"/>
      <c r="C27" s="46"/>
      <c r="D27" s="46"/>
      <c r="E27" s="28"/>
      <c r="G27" s="43"/>
      <c r="H27" s="8"/>
    </row>
    <row r="28" spans="1:8" ht="15.75" x14ac:dyDescent="0.25">
      <c r="A28" s="4"/>
      <c r="B28" s="100" t="s">
        <v>89</v>
      </c>
      <c r="C28" s="102"/>
      <c r="D28" s="46"/>
      <c r="E28" s="28"/>
      <c r="G28" s="43"/>
      <c r="H28" s="8"/>
    </row>
    <row r="29" spans="1:8" ht="18.75" x14ac:dyDescent="0.3">
      <c r="A29" s="4"/>
      <c r="B29" s="4" t="s">
        <v>90</v>
      </c>
      <c r="C29" s="85">
        <v>0</v>
      </c>
      <c r="D29" s="46"/>
      <c r="E29" s="28"/>
      <c r="G29" s="80"/>
      <c r="H29" s="8"/>
    </row>
    <row r="30" spans="1:8" x14ac:dyDescent="0.25">
      <c r="A30" s="4"/>
      <c r="B30" s="82" t="s">
        <v>88</v>
      </c>
      <c r="C30" s="85">
        <v>0</v>
      </c>
      <c r="D30" s="46"/>
      <c r="E30" s="28"/>
      <c r="G30" s="43"/>
      <c r="H30" s="8"/>
    </row>
    <row r="31" spans="1:8" x14ac:dyDescent="0.25">
      <c r="A31" s="4"/>
      <c r="B31" s="4" t="s">
        <v>72</v>
      </c>
      <c r="C31" s="63">
        <v>100</v>
      </c>
      <c r="D31" s="46"/>
      <c r="E31" s="28"/>
      <c r="G31" s="43"/>
      <c r="H31" s="8"/>
    </row>
    <row r="32" spans="1:8" x14ac:dyDescent="0.25">
      <c r="A32" s="4"/>
      <c r="B32" s="30" t="s">
        <v>73</v>
      </c>
      <c r="C32" s="66">
        <v>600</v>
      </c>
      <c r="D32" s="46"/>
      <c r="E32" s="28"/>
      <c r="G32" s="43"/>
      <c r="H32" s="8"/>
    </row>
    <row r="33" spans="1:8" x14ac:dyDescent="0.25">
      <c r="A33" s="4"/>
      <c r="B33" s="46"/>
      <c r="C33" s="46"/>
      <c r="D33" s="46"/>
      <c r="E33" s="28"/>
      <c r="G33" s="43"/>
      <c r="H33" s="8"/>
    </row>
    <row r="34" spans="1:8" ht="15.75" x14ac:dyDescent="0.25">
      <c r="A34" s="4"/>
      <c r="B34" s="62" t="s">
        <v>70</v>
      </c>
      <c r="C34" s="71" t="s">
        <v>63</v>
      </c>
      <c r="D34" s="72" t="s">
        <v>52</v>
      </c>
      <c r="E34" s="28"/>
      <c r="G34" s="44"/>
      <c r="H34" s="13"/>
    </row>
    <row r="35" spans="1:8" x14ac:dyDescent="0.25">
      <c r="A35" s="4"/>
      <c r="B35" s="36" t="s">
        <v>57</v>
      </c>
      <c r="C35" s="67">
        <v>500000</v>
      </c>
      <c r="D35" s="68">
        <f>Schablonuträkningar!D28</f>
        <v>500000</v>
      </c>
      <c r="E35" s="28"/>
    </row>
    <row r="36" spans="1:8" x14ac:dyDescent="0.25">
      <c r="A36" s="4"/>
      <c r="B36" s="4" t="s">
        <v>58</v>
      </c>
      <c r="C36" s="67">
        <v>2000000</v>
      </c>
      <c r="D36" s="68">
        <f>Schablonuträkningar!D5</f>
        <v>1681160</v>
      </c>
      <c r="E36" s="28"/>
    </row>
    <row r="37" spans="1:8" x14ac:dyDescent="0.25">
      <c r="A37" s="4"/>
      <c r="B37" s="36" t="s">
        <v>59</v>
      </c>
      <c r="C37" s="67">
        <f>2*10^6</f>
        <v>2000000</v>
      </c>
      <c r="D37" s="68">
        <f>Schablonuträkningar!D9</f>
        <v>5000000</v>
      </c>
      <c r="E37" s="28"/>
    </row>
    <row r="38" spans="1:8" x14ac:dyDescent="0.25">
      <c r="A38" s="4"/>
      <c r="B38" s="36" t="s">
        <v>60</v>
      </c>
      <c r="C38" s="67">
        <f>2*10^6</f>
        <v>2000000</v>
      </c>
      <c r="D38" s="68">
        <f>Schablonuträkningar!D13</f>
        <v>600000</v>
      </c>
      <c r="E38" s="28"/>
    </row>
    <row r="39" spans="1:8" x14ac:dyDescent="0.25">
      <c r="A39" s="4"/>
      <c r="B39" s="36" t="s">
        <v>61</v>
      </c>
      <c r="C39" s="67">
        <f>10^6</f>
        <v>1000000</v>
      </c>
      <c r="D39" s="68">
        <v>0</v>
      </c>
      <c r="E39" s="28"/>
    </row>
    <row r="40" spans="1:8" x14ac:dyDescent="0.25">
      <c r="A40" s="4"/>
      <c r="B40" s="4" t="s">
        <v>96</v>
      </c>
      <c r="C40" s="67">
        <v>50000</v>
      </c>
      <c r="D40" s="68">
        <f>Schablonuträkningar!D33</f>
        <v>50000</v>
      </c>
      <c r="E40" s="28"/>
    </row>
    <row r="41" spans="1:8" x14ac:dyDescent="0.25">
      <c r="A41" s="4"/>
      <c r="B41" s="4" t="s">
        <v>94</v>
      </c>
      <c r="C41" s="67">
        <f>0.5*10^6</f>
        <v>500000</v>
      </c>
      <c r="D41" s="68">
        <f>Schablonuträkningar!D26</f>
        <v>659627.25137287157</v>
      </c>
      <c r="E41" s="28"/>
    </row>
    <row r="42" spans="1:8" x14ac:dyDescent="0.25">
      <c r="A42" s="4"/>
      <c r="B42" s="30" t="s">
        <v>95</v>
      </c>
      <c r="C42" s="69">
        <v>400000</v>
      </c>
      <c r="D42" s="70">
        <f>Schablonuträkningar!D20</f>
        <v>135045.13326042893</v>
      </c>
      <c r="E42" s="28"/>
    </row>
    <row r="43" spans="1:8" x14ac:dyDescent="0.25">
      <c r="A43" s="30"/>
      <c r="B43" s="31"/>
      <c r="C43" s="31"/>
      <c r="D43" s="31"/>
      <c r="E43" s="29"/>
    </row>
    <row r="46" spans="1:8" ht="18.75" x14ac:dyDescent="0.3">
      <c r="B46" s="103" t="s">
        <v>71</v>
      </c>
      <c r="C46" s="103"/>
    </row>
    <row r="47" spans="1:8" ht="15.75" x14ac:dyDescent="0.25">
      <c r="B47" s="98" t="s">
        <v>14</v>
      </c>
      <c r="C47" s="99"/>
    </row>
    <row r="48" spans="1:8" x14ac:dyDescent="0.25">
      <c r="B48" s="10" t="s">
        <v>65</v>
      </c>
      <c r="C48" s="74">
        <f>IF(C29=1,Schablonuträkningar!D7,0.15*SUM(C35:C36))</f>
        <v>375000</v>
      </c>
    </row>
    <row r="49" spans="2:8" x14ac:dyDescent="0.25">
      <c r="B49" s="10" t="s">
        <v>22</v>
      </c>
      <c r="C49" s="74">
        <v>0</v>
      </c>
    </row>
    <row r="50" spans="2:8" x14ac:dyDescent="0.25">
      <c r="B50" s="10" t="s">
        <v>91</v>
      </c>
      <c r="C50" s="74">
        <v>0</v>
      </c>
      <c r="H50" s="1"/>
    </row>
    <row r="51" spans="2:8" x14ac:dyDescent="0.25">
      <c r="B51" s="10" t="s">
        <v>21</v>
      </c>
      <c r="C51" s="74">
        <v>0</v>
      </c>
      <c r="H51" s="1"/>
    </row>
    <row r="52" spans="2:8" x14ac:dyDescent="0.25">
      <c r="B52" s="10" t="s">
        <v>19</v>
      </c>
      <c r="C52" s="75">
        <v>0</v>
      </c>
      <c r="H52" s="1"/>
    </row>
    <row r="53" spans="2:8" ht="15.75" thickBot="1" x14ac:dyDescent="0.3">
      <c r="B53" s="10" t="s">
        <v>66</v>
      </c>
      <c r="C53" s="75">
        <f>C24</f>
        <v>10900000</v>
      </c>
      <c r="H53" s="1"/>
    </row>
    <row r="54" spans="2:8" ht="16.5" thickBot="1" x14ac:dyDescent="0.3">
      <c r="B54" s="61" t="s">
        <v>49</v>
      </c>
      <c r="C54" s="76">
        <f>C53-C48</f>
        <v>10525000</v>
      </c>
    </row>
    <row r="56" spans="2:8" ht="15.75" x14ac:dyDescent="0.25">
      <c r="B56" s="98" t="s">
        <v>33</v>
      </c>
      <c r="C56" s="99"/>
    </row>
    <row r="57" spans="2:8" x14ac:dyDescent="0.25">
      <c r="B57" s="10" t="s">
        <v>64</v>
      </c>
      <c r="C57" s="77">
        <f>IF(C29=1,Schablonuträkningar!D11, 0.15*(SUM(C37:C39)+C35))</f>
        <v>825000</v>
      </c>
    </row>
    <row r="58" spans="2:8" x14ac:dyDescent="0.25">
      <c r="B58" s="10" t="s">
        <v>22</v>
      </c>
      <c r="C58" s="77">
        <f>IF(C29=1, Schablonuträkningar!D26,C41)</f>
        <v>500000</v>
      </c>
    </row>
    <row r="59" spans="2:8" x14ac:dyDescent="0.25">
      <c r="B59" s="10" t="s">
        <v>91</v>
      </c>
      <c r="C59" s="77">
        <f>IF(C29=1,Schablonuträkningar!D33, C42*20)</f>
        <v>8000000</v>
      </c>
    </row>
    <row r="60" spans="2:8" x14ac:dyDescent="0.25">
      <c r="B60" s="10" t="s">
        <v>21</v>
      </c>
      <c r="C60" s="77">
        <f>IF(C29=1,Schablonuträkningar!D20*20, C42)</f>
        <v>400000</v>
      </c>
    </row>
    <row r="61" spans="2:8" x14ac:dyDescent="0.25">
      <c r="B61" s="10" t="s">
        <v>19</v>
      </c>
      <c r="C61" s="78">
        <f>IF(Produktionsintäkter!B24/C16 &lt; 0.95, IF(C30=0,Schablonuträkningar!D18, Produktionsintäkter!B23), 0)</f>
        <v>20819225</v>
      </c>
    </row>
    <row r="62" spans="2:8" ht="15.75" thickBot="1" x14ac:dyDescent="0.3">
      <c r="B62" s="10" t="s">
        <v>66</v>
      </c>
      <c r="C62" s="78">
        <f>C25</f>
        <v>2600000</v>
      </c>
    </row>
    <row r="63" spans="2:8" ht="16.5" thickBot="1" x14ac:dyDescent="0.3">
      <c r="B63" s="61" t="s">
        <v>49</v>
      </c>
      <c r="C63" s="79">
        <f>C62+C61-SUM(C57:C60)</f>
        <v>13694225</v>
      </c>
    </row>
  </sheetData>
  <mergeCells count="7">
    <mergeCell ref="G11:H11"/>
    <mergeCell ref="B47:C47"/>
    <mergeCell ref="B56:C56"/>
    <mergeCell ref="B12:C12"/>
    <mergeCell ref="B28:C28"/>
    <mergeCell ref="B46:C46"/>
    <mergeCell ref="D15:D16"/>
  </mergeCells>
  <conditionalFormatting sqref="C54 C63">
    <cfRule type="cellIs" dxfId="1" priority="1" operator="lessThan">
      <formula>0</formula>
    </cfRule>
    <cfRule type="cellIs" dxfId="0" priority="2" operator="greaterThan">
      <formula>0</formula>
    </cfRule>
  </conditionalFormatting>
  <pageMargins left="0.25" right="0.25" top="0.75" bottom="0.75" header="0.3" footer="0.3"/>
  <pageSetup paperSize="9" scale="61"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265DB-AE7A-4D66-A19E-E634301C0ADE}">
  <sheetPr codeName="Sheet2"/>
  <dimension ref="A1:D36"/>
  <sheetViews>
    <sheetView workbookViewId="0">
      <selection activeCell="D33" sqref="D33"/>
    </sheetView>
  </sheetViews>
  <sheetFormatPr defaultRowHeight="15" x14ac:dyDescent="0.25"/>
  <cols>
    <col min="1" max="1" width="3.28515625" customWidth="1"/>
    <col min="2" max="2" width="42.140625" bestFit="1" customWidth="1"/>
    <col min="3" max="3" width="29.140625" bestFit="1" customWidth="1"/>
    <col min="4" max="4" width="11" bestFit="1" customWidth="1"/>
  </cols>
  <sheetData>
    <row r="1" spans="1:4" x14ac:dyDescent="0.25">
      <c r="B1" t="s">
        <v>41</v>
      </c>
    </row>
    <row r="2" spans="1:4" x14ac:dyDescent="0.25">
      <c r="A2" s="3"/>
      <c r="B2" s="26"/>
      <c r="C2" s="26"/>
      <c r="D2" s="27"/>
    </row>
    <row r="3" spans="1:4" x14ac:dyDescent="0.25">
      <c r="A3" s="4"/>
      <c r="B3" s="108" t="s">
        <v>2</v>
      </c>
      <c r="C3" s="109"/>
      <c r="D3" s="28"/>
    </row>
    <row r="4" spans="1:4" x14ac:dyDescent="0.25">
      <c r="A4" s="4"/>
      <c r="B4" s="19" t="s">
        <v>14</v>
      </c>
      <c r="C4" s="33"/>
      <c r="D4" s="28"/>
    </row>
    <row r="5" spans="1:4" x14ac:dyDescent="0.25">
      <c r="A5" s="4"/>
      <c r="B5" s="10"/>
      <c r="C5" s="34" t="s">
        <v>15</v>
      </c>
      <c r="D5" s="28">
        <f>Uträkning!C14*'Miljöåtgärder kostnader'!D8</f>
        <v>1681160</v>
      </c>
    </row>
    <row r="6" spans="1:4" ht="15.75" thickBot="1" x14ac:dyDescent="0.3">
      <c r="A6" s="4"/>
      <c r="B6" s="10"/>
      <c r="C6" s="34" t="s">
        <v>16</v>
      </c>
      <c r="D6" s="28">
        <f>D5*(1-0.85)</f>
        <v>252174.00000000003</v>
      </c>
    </row>
    <row r="7" spans="1:4" ht="15.75" thickTop="1" x14ac:dyDescent="0.25">
      <c r="A7" s="4"/>
      <c r="B7" s="106" t="s">
        <v>49</v>
      </c>
      <c r="C7" s="107"/>
      <c r="D7" s="25">
        <f>SUM(D6:D6)</f>
        <v>252174.00000000003</v>
      </c>
    </row>
    <row r="8" spans="1:4" x14ac:dyDescent="0.25">
      <c r="A8" s="4"/>
      <c r="B8" s="19" t="s">
        <v>39</v>
      </c>
      <c r="C8" s="33"/>
      <c r="D8" s="28"/>
    </row>
    <row r="9" spans="1:4" x14ac:dyDescent="0.25">
      <c r="A9" s="4"/>
      <c r="B9" s="10" t="s">
        <v>40</v>
      </c>
      <c r="C9" s="34" t="s">
        <v>1</v>
      </c>
      <c r="D9" s="28">
        <f>'Miljöåtgärder kostnader'!C25</f>
        <v>5000000</v>
      </c>
    </row>
    <row r="10" spans="1:4" ht="15.75" thickBot="1" x14ac:dyDescent="0.3">
      <c r="A10" s="4"/>
      <c r="B10" s="10"/>
      <c r="C10" s="34" t="s">
        <v>16</v>
      </c>
      <c r="D10" s="28">
        <f>(1-0.85)*D9</f>
        <v>750000.00000000012</v>
      </c>
    </row>
    <row r="11" spans="1:4" ht="15.75" thickTop="1" x14ac:dyDescent="0.25">
      <c r="A11" s="4"/>
      <c r="B11" s="106" t="s">
        <v>49</v>
      </c>
      <c r="C11" s="107"/>
      <c r="D11" s="25">
        <f>SUM(D10:D10)</f>
        <v>750000.00000000012</v>
      </c>
    </row>
    <row r="12" spans="1:4" x14ac:dyDescent="0.25">
      <c r="A12" s="4"/>
      <c r="B12" s="19" t="s">
        <v>42</v>
      </c>
      <c r="C12" s="33"/>
      <c r="D12" s="28"/>
    </row>
    <row r="13" spans="1:4" x14ac:dyDescent="0.25">
      <c r="A13" s="4"/>
      <c r="B13" s="10" t="s">
        <v>47</v>
      </c>
      <c r="C13" s="34" t="s">
        <v>1</v>
      </c>
      <c r="D13" s="28">
        <f>'Miljöåtgärder kostnader'!C26</f>
        <v>600000</v>
      </c>
    </row>
    <row r="14" spans="1:4" ht="15.75" thickBot="1" x14ac:dyDescent="0.3">
      <c r="A14" s="4"/>
      <c r="B14" s="24"/>
      <c r="C14" s="35" t="s">
        <v>16</v>
      </c>
      <c r="D14" s="28">
        <f>D13*0.15</f>
        <v>90000</v>
      </c>
    </row>
    <row r="15" spans="1:4" ht="15.75" thickTop="1" x14ac:dyDescent="0.25">
      <c r="A15" s="4"/>
      <c r="B15" s="112" t="s">
        <v>49</v>
      </c>
      <c r="C15" s="113"/>
      <c r="D15" s="25">
        <f>D14</f>
        <v>90000</v>
      </c>
    </row>
    <row r="16" spans="1:4" x14ac:dyDescent="0.25">
      <c r="A16" s="4"/>
      <c r="B16" s="19" t="s">
        <v>19</v>
      </c>
      <c r="C16" s="33"/>
      <c r="D16" s="28"/>
    </row>
    <row r="17" spans="1:4" x14ac:dyDescent="0.25">
      <c r="A17" s="4"/>
      <c r="B17" s="11" t="s">
        <v>24</v>
      </c>
      <c r="C17" s="45" t="s">
        <v>50</v>
      </c>
      <c r="D17" s="28">
        <f>SUM(Produktionsintäkter!D2:D21)</f>
        <v>20819225</v>
      </c>
    </row>
    <row r="18" spans="1:4" x14ac:dyDescent="0.25">
      <c r="A18" s="4"/>
      <c r="B18" s="110" t="s">
        <v>49</v>
      </c>
      <c r="C18" s="111"/>
      <c r="D18" s="25">
        <f>D17</f>
        <v>20819225</v>
      </c>
    </row>
    <row r="19" spans="1:4" x14ac:dyDescent="0.25">
      <c r="A19" s="4"/>
      <c r="B19" s="23" t="s">
        <v>21</v>
      </c>
      <c r="C19" s="34"/>
      <c r="D19" s="28"/>
    </row>
    <row r="20" spans="1:4" x14ac:dyDescent="0.25">
      <c r="A20" s="4"/>
      <c r="B20" s="10" t="s">
        <v>51</v>
      </c>
      <c r="C20" s="34" t="s">
        <v>29</v>
      </c>
      <c r="D20" s="28">
        <f>'Drift och underhåll'!B18</f>
        <v>135045.13326042893</v>
      </c>
    </row>
    <row r="21" spans="1:4" ht="15.75" thickBot="1" x14ac:dyDescent="0.3">
      <c r="A21" s="4"/>
      <c r="B21" s="24"/>
      <c r="C21" s="35" t="s">
        <v>28</v>
      </c>
      <c r="D21" s="28">
        <v>20</v>
      </c>
    </row>
    <row r="22" spans="1:4" ht="15.75" thickTop="1" x14ac:dyDescent="0.25">
      <c r="A22" s="4"/>
      <c r="B22" s="110" t="s">
        <v>49</v>
      </c>
      <c r="C22" s="111"/>
      <c r="D22" s="25">
        <f>D20*D21</f>
        <v>2700902.6652085786</v>
      </c>
    </row>
    <row r="23" spans="1:4" x14ac:dyDescent="0.25">
      <c r="A23" s="4"/>
      <c r="B23" s="23" t="s">
        <v>23</v>
      </c>
      <c r="C23" s="34"/>
      <c r="D23" s="28"/>
    </row>
    <row r="24" spans="1:4" x14ac:dyDescent="0.25">
      <c r="A24" s="4"/>
      <c r="B24" s="10" t="s">
        <v>29</v>
      </c>
      <c r="C24" s="34" t="s">
        <v>25</v>
      </c>
      <c r="D24" s="28">
        <f>Förnyelsekostnad!B16</f>
        <v>32981.362568643577</v>
      </c>
    </row>
    <row r="25" spans="1:4" ht="15.75" thickBot="1" x14ac:dyDescent="0.3">
      <c r="A25" s="4"/>
      <c r="B25" s="24"/>
      <c r="C25" s="35" t="s">
        <v>28</v>
      </c>
      <c r="D25" s="28">
        <v>20</v>
      </c>
    </row>
    <row r="26" spans="1:4" ht="15.75" thickTop="1" x14ac:dyDescent="0.25">
      <c r="A26" s="4"/>
      <c r="B26" s="106" t="s">
        <v>49</v>
      </c>
      <c r="C26" s="107"/>
      <c r="D26" s="25">
        <f>D24*D25</f>
        <v>659627.25137287157</v>
      </c>
    </row>
    <row r="27" spans="1:4" x14ac:dyDescent="0.25">
      <c r="A27" s="4"/>
      <c r="B27" s="19" t="s">
        <v>38</v>
      </c>
      <c r="C27" s="33"/>
      <c r="D27" s="28"/>
    </row>
    <row r="28" spans="1:4" x14ac:dyDescent="0.25">
      <c r="A28" s="4"/>
      <c r="B28" s="10"/>
      <c r="C28" s="34" t="s">
        <v>38</v>
      </c>
      <c r="D28" s="28">
        <f>'Miljöåtgärder kostnader'!C27</f>
        <v>500000</v>
      </c>
    </row>
    <row r="29" spans="1:4" ht="15.75" thickBot="1" x14ac:dyDescent="0.3">
      <c r="A29" s="4"/>
      <c r="B29" s="10"/>
      <c r="C29" s="34" t="s">
        <v>16</v>
      </c>
      <c r="D29" s="28">
        <f>D28*(1-0.85)</f>
        <v>75000.000000000015</v>
      </c>
    </row>
    <row r="30" spans="1:4" ht="15.75" thickTop="1" x14ac:dyDescent="0.25">
      <c r="A30" s="4"/>
      <c r="B30" s="106" t="s">
        <v>49</v>
      </c>
      <c r="C30" s="107"/>
      <c r="D30" s="25">
        <f>D29</f>
        <v>75000.000000000015</v>
      </c>
    </row>
    <row r="31" spans="1:4" x14ac:dyDescent="0.25">
      <c r="A31" s="4"/>
      <c r="B31" s="23" t="s">
        <v>91</v>
      </c>
      <c r="C31" s="34" t="s">
        <v>92</v>
      </c>
      <c r="D31" s="28"/>
    </row>
    <row r="32" spans="1:4" x14ac:dyDescent="0.25">
      <c r="A32" s="4"/>
      <c r="B32" s="23"/>
      <c r="C32" s="34" t="s">
        <v>93</v>
      </c>
      <c r="D32" s="28">
        <f>Uträkning!C16*10^6*2</f>
        <v>10000000</v>
      </c>
    </row>
    <row r="33" spans="1:4" x14ac:dyDescent="0.25">
      <c r="A33" s="4"/>
      <c r="B33" s="23"/>
      <c r="C33" s="94">
        <v>5.0000000000000001E-3</v>
      </c>
      <c r="D33" s="28">
        <f>D32*0.005</f>
        <v>50000</v>
      </c>
    </row>
    <row r="34" spans="1:4" x14ac:dyDescent="0.25">
      <c r="A34" s="4"/>
      <c r="B34" s="10" t="s">
        <v>29</v>
      </c>
      <c r="C34" s="34"/>
      <c r="D34" s="28"/>
    </row>
    <row r="35" spans="1:4" ht="15.75" thickBot="1" x14ac:dyDescent="0.3">
      <c r="A35" s="4"/>
      <c r="B35" s="24"/>
      <c r="C35" s="35" t="s">
        <v>28</v>
      </c>
      <c r="D35" s="28">
        <v>20</v>
      </c>
    </row>
    <row r="36" spans="1:4" ht="15.75" thickTop="1" x14ac:dyDescent="0.25">
      <c r="A36" s="4"/>
      <c r="B36" s="106" t="s">
        <v>49</v>
      </c>
      <c r="C36" s="107"/>
      <c r="D36" s="25">
        <f>D35*D33</f>
        <v>1000000</v>
      </c>
    </row>
  </sheetData>
  <mergeCells count="9">
    <mergeCell ref="B36:C36"/>
    <mergeCell ref="B30:C30"/>
    <mergeCell ref="B26:C26"/>
    <mergeCell ref="B3:C3"/>
    <mergeCell ref="B11:C11"/>
    <mergeCell ref="B7:C7"/>
    <mergeCell ref="B22:C22"/>
    <mergeCell ref="B18:C18"/>
    <mergeCell ref="B15:C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2151-2621-4497-9FC0-6699A8A61DDF}">
  <sheetPr codeName="Sheet3">
    <tabColor theme="6"/>
  </sheetPr>
  <dimension ref="A2:G27"/>
  <sheetViews>
    <sheetView workbookViewId="0">
      <selection activeCell="B25" sqref="B25"/>
    </sheetView>
  </sheetViews>
  <sheetFormatPr defaultRowHeight="15" x14ac:dyDescent="0.25"/>
  <cols>
    <col min="1" max="1" width="43.140625" bestFit="1" customWidth="1"/>
    <col min="2" max="2" width="15.42578125" bestFit="1" customWidth="1"/>
    <col min="3" max="3" width="15.5703125" bestFit="1" customWidth="1"/>
    <col min="4" max="4" width="17.5703125" bestFit="1" customWidth="1"/>
    <col min="5" max="5" width="14.85546875" bestFit="1" customWidth="1"/>
    <col min="7" max="7" width="9" customWidth="1"/>
    <col min="22" max="22" width="14.42578125" bestFit="1" customWidth="1"/>
  </cols>
  <sheetData>
    <row r="2" spans="1:4" x14ac:dyDescent="0.25">
      <c r="A2" s="114" t="s">
        <v>2</v>
      </c>
      <c r="B2" s="114"/>
      <c r="C2" s="114"/>
      <c r="D2" s="114"/>
    </row>
    <row r="3" spans="1:4" x14ac:dyDescent="0.25">
      <c r="A3" s="14" t="s">
        <v>7</v>
      </c>
      <c r="B3" s="15" t="s">
        <v>0</v>
      </c>
      <c r="C3" s="15" t="s">
        <v>1</v>
      </c>
      <c r="D3" s="16" t="s">
        <v>8</v>
      </c>
    </row>
    <row r="4" spans="1:4" x14ac:dyDescent="0.25">
      <c r="A4" s="3" t="s">
        <v>3</v>
      </c>
      <c r="B4" s="6">
        <v>5.3</v>
      </c>
      <c r="C4" s="39">
        <v>500000</v>
      </c>
      <c r="D4" s="51">
        <f>ROUND(C4/B4,0)</f>
        <v>94340</v>
      </c>
    </row>
    <row r="5" spans="1:4" x14ac:dyDescent="0.25">
      <c r="A5" s="4" t="s">
        <v>4</v>
      </c>
      <c r="B5" s="2">
        <v>5</v>
      </c>
      <c r="C5" s="38">
        <v>900000</v>
      </c>
      <c r="D5" s="41">
        <f>ROUND(C5/B5,0)</f>
        <v>180000</v>
      </c>
    </row>
    <row r="6" spans="1:4" x14ac:dyDescent="0.25">
      <c r="A6" s="4" t="s">
        <v>5</v>
      </c>
      <c r="B6" s="2">
        <v>3.4</v>
      </c>
      <c r="C6" s="38">
        <f>3.3*10^6</f>
        <v>3300000</v>
      </c>
      <c r="D6" s="41">
        <f>ROUND(C6/B6,0)</f>
        <v>970588</v>
      </c>
    </row>
    <row r="7" spans="1:4" ht="15.75" thickBot="1" x14ac:dyDescent="0.3">
      <c r="A7" s="5" t="s">
        <v>6</v>
      </c>
      <c r="B7" s="9">
        <v>1.5</v>
      </c>
      <c r="C7" s="37">
        <v>150000</v>
      </c>
      <c r="D7" s="53">
        <f>ROUND(C7/B7,0)</f>
        <v>100000</v>
      </c>
    </row>
    <row r="8" spans="1:4" ht="15.75" thickTop="1" x14ac:dyDescent="0.25">
      <c r="A8" s="10" t="s">
        <v>9</v>
      </c>
      <c r="B8" s="2"/>
      <c r="C8" s="2"/>
      <c r="D8" s="54">
        <f>ROUND(AVERAGE(D4:D7), 0)</f>
        <v>336232</v>
      </c>
    </row>
    <row r="9" spans="1:4" x14ac:dyDescent="0.25">
      <c r="A9" s="10" t="s">
        <v>10</v>
      </c>
      <c r="B9" s="2"/>
      <c r="C9" s="2"/>
      <c r="D9" s="54">
        <f>ROUND(MIN(D4:D7),0)</f>
        <v>94340</v>
      </c>
    </row>
    <row r="10" spans="1:4" x14ac:dyDescent="0.25">
      <c r="A10" s="11" t="s">
        <v>11</v>
      </c>
      <c r="B10" s="12"/>
      <c r="C10" s="12"/>
      <c r="D10" s="55">
        <f>ROUND(MAX(D4:D7),0)</f>
        <v>970588</v>
      </c>
    </row>
    <row r="11" spans="1:4" x14ac:dyDescent="0.25">
      <c r="A11" s="14" t="s">
        <v>12</v>
      </c>
      <c r="B11" s="15" t="s">
        <v>0</v>
      </c>
      <c r="C11" s="15" t="s">
        <v>1</v>
      </c>
      <c r="D11" s="16" t="s">
        <v>8</v>
      </c>
    </row>
    <row r="12" spans="1:4" x14ac:dyDescent="0.25">
      <c r="A12" s="3" t="s">
        <v>3</v>
      </c>
      <c r="B12" s="6">
        <v>7.5</v>
      </c>
      <c r="C12" s="39">
        <f>2.53*10^6</f>
        <v>2530000</v>
      </c>
      <c r="D12" s="51">
        <f>ROUND(C12/B12,0)</f>
        <v>337333</v>
      </c>
    </row>
    <row r="13" spans="1:4" x14ac:dyDescent="0.25">
      <c r="A13" s="4" t="s">
        <v>4</v>
      </c>
      <c r="B13" s="2">
        <v>1.6</v>
      </c>
      <c r="C13" s="38">
        <v>917000</v>
      </c>
      <c r="D13" s="41">
        <f>ROUND(C13/B13,0)</f>
        <v>573125</v>
      </c>
    </row>
    <row r="14" spans="1:4" x14ac:dyDescent="0.25">
      <c r="A14" s="4" t="s">
        <v>5</v>
      </c>
      <c r="B14" s="2">
        <v>9.25</v>
      </c>
      <c r="C14" s="38">
        <f>3*10^6</f>
        <v>3000000</v>
      </c>
      <c r="D14" s="41">
        <f>ROUND(C14/B14,0)</f>
        <v>324324</v>
      </c>
    </row>
    <row r="15" spans="1:4" ht="15.75" thickBot="1" x14ac:dyDescent="0.3">
      <c r="A15" s="5" t="s">
        <v>13</v>
      </c>
      <c r="B15" s="9">
        <v>5</v>
      </c>
      <c r="C15" s="37">
        <f>7.4*10^6</f>
        <v>7400000</v>
      </c>
      <c r="D15" s="53">
        <f>ROUND(C15/B15,0)</f>
        <v>1480000</v>
      </c>
    </row>
    <row r="16" spans="1:4" ht="15.75" thickTop="1" x14ac:dyDescent="0.25">
      <c r="A16" s="10" t="s">
        <v>9</v>
      </c>
      <c r="B16" s="2"/>
      <c r="C16" s="2"/>
      <c r="D16" s="54">
        <f>ROUND(AVERAGE(D12:D15), 0)</f>
        <v>678696</v>
      </c>
    </row>
    <row r="17" spans="1:7" x14ac:dyDescent="0.25">
      <c r="A17" s="10" t="s">
        <v>10</v>
      </c>
      <c r="B17" s="2"/>
      <c r="C17" s="2"/>
      <c r="D17" s="54">
        <f>ROUND(MIN(D12:D15),0)</f>
        <v>324324</v>
      </c>
    </row>
    <row r="18" spans="1:7" x14ac:dyDescent="0.25">
      <c r="A18" s="11" t="s">
        <v>11</v>
      </c>
      <c r="B18" s="12"/>
      <c r="C18" s="12"/>
      <c r="D18" s="55">
        <f>ROUND(MAX(D12:D15),0)</f>
        <v>1480000</v>
      </c>
    </row>
    <row r="22" spans="1:7" x14ac:dyDescent="0.25">
      <c r="G22" s="1"/>
    </row>
    <row r="23" spans="1:7" x14ac:dyDescent="0.25">
      <c r="A23" s="115" t="s">
        <v>43</v>
      </c>
      <c r="B23" s="116"/>
      <c r="C23" s="117"/>
      <c r="D23" s="1"/>
    </row>
    <row r="24" spans="1:7" x14ac:dyDescent="0.25">
      <c r="A24" s="43"/>
      <c r="B24" s="2" t="s">
        <v>44</v>
      </c>
      <c r="C24" s="8" t="s">
        <v>46</v>
      </c>
    </row>
    <row r="25" spans="1:7" x14ac:dyDescent="0.25">
      <c r="A25" s="50" t="s">
        <v>45</v>
      </c>
      <c r="B25" s="39">
        <f>10^6</f>
        <v>1000000</v>
      </c>
      <c r="C25" s="51">
        <f>B25*Uträkning!C14</f>
        <v>5000000</v>
      </c>
    </row>
    <row r="26" spans="1:7" x14ac:dyDescent="0.25">
      <c r="A26" s="36" t="s">
        <v>98</v>
      </c>
      <c r="B26" s="38">
        <v>80000</v>
      </c>
      <c r="C26" s="41">
        <f>Uträkning!C16*1.5*B26</f>
        <v>600000</v>
      </c>
      <c r="G26" s="1"/>
    </row>
    <row r="27" spans="1:7" x14ac:dyDescent="0.25">
      <c r="A27" s="30" t="s">
        <v>38</v>
      </c>
      <c r="B27" s="52">
        <f>5*10^5</f>
        <v>500000</v>
      </c>
      <c r="C27" s="40">
        <f>B27</f>
        <v>500000</v>
      </c>
    </row>
  </sheetData>
  <mergeCells count="2">
    <mergeCell ref="A2:D2"/>
    <mergeCell ref="A23:C23"/>
  </mergeCells>
  <dataValidations count="1">
    <dataValidation type="list" allowBlank="1" showInputMessage="1" showErrorMessage="1" sqref="G1" xr:uid="{2D3DF7E2-3975-4FC8-A619-86F05086DAFD}">
      <formula1>$V$14:$V$16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F4A73-F23A-4BA6-9F59-70630D2E17FA}">
  <sheetPr codeName="Sheet4">
    <tabColor theme="6"/>
  </sheetPr>
  <dimension ref="A1:B18"/>
  <sheetViews>
    <sheetView workbookViewId="0">
      <selection activeCell="R22" sqref="R22"/>
    </sheetView>
  </sheetViews>
  <sheetFormatPr defaultRowHeight="15" x14ac:dyDescent="0.25"/>
  <cols>
    <col min="1" max="1" width="23.5703125" customWidth="1"/>
    <col min="2" max="2" width="17.85546875" bestFit="1" customWidth="1"/>
  </cols>
  <sheetData>
    <row r="1" spans="1:2" x14ac:dyDescent="0.25">
      <c r="A1" s="17" t="s">
        <v>18</v>
      </c>
      <c r="B1" s="18" t="s">
        <v>17</v>
      </c>
    </row>
    <row r="2" spans="1:2" x14ac:dyDescent="0.25">
      <c r="A2" s="43">
        <v>2</v>
      </c>
      <c r="B2" s="8">
        <v>15.71</v>
      </c>
    </row>
    <row r="3" spans="1:2" x14ac:dyDescent="0.25">
      <c r="A3" s="43">
        <v>5</v>
      </c>
      <c r="B3" s="8">
        <v>13.63</v>
      </c>
    </row>
    <row r="4" spans="1:2" x14ac:dyDescent="0.25">
      <c r="A4" s="43">
        <v>10</v>
      </c>
      <c r="B4" s="8">
        <v>11.69</v>
      </c>
    </row>
    <row r="5" spans="1:2" x14ac:dyDescent="0.25">
      <c r="A5" s="43">
        <v>50</v>
      </c>
      <c r="B5" s="8">
        <v>6.85</v>
      </c>
    </row>
    <row r="6" spans="1:2" x14ac:dyDescent="0.25">
      <c r="A6" s="43">
        <v>100</v>
      </c>
      <c r="B6" s="8">
        <v>5.9</v>
      </c>
    </row>
    <row r="7" spans="1:2" x14ac:dyDescent="0.25">
      <c r="A7" s="43">
        <v>200</v>
      </c>
      <c r="B7" s="8">
        <v>4.5</v>
      </c>
    </row>
    <row r="8" spans="1:2" x14ac:dyDescent="0.25">
      <c r="A8" s="43">
        <v>350</v>
      </c>
      <c r="B8" s="8">
        <v>5.13</v>
      </c>
    </row>
    <row r="9" spans="1:2" x14ac:dyDescent="0.25">
      <c r="A9" s="43">
        <v>500</v>
      </c>
      <c r="B9" s="8">
        <v>2.99</v>
      </c>
    </row>
    <row r="10" spans="1:2" x14ac:dyDescent="0.25">
      <c r="A10" s="43">
        <v>750</v>
      </c>
      <c r="B10" s="8">
        <v>2.2400000000000002</v>
      </c>
    </row>
    <row r="11" spans="1:2" x14ac:dyDescent="0.25">
      <c r="A11" s="44">
        <v>1400</v>
      </c>
      <c r="B11" s="13">
        <v>2.46</v>
      </c>
    </row>
    <row r="17" spans="1:2" x14ac:dyDescent="0.25">
      <c r="A17" s="19" t="s">
        <v>26</v>
      </c>
      <c r="B17" s="7">
        <f>IF(Uträkning!C21 &gt; 2, -2.12*LN(Uträkning!C21)+16.53, 'Drift och underhåll'!B2)</f>
        <v>13.504513326042892</v>
      </c>
    </row>
    <row r="18" spans="1:2" x14ac:dyDescent="0.25">
      <c r="A18" s="32" t="s">
        <v>27</v>
      </c>
      <c r="B18" s="42">
        <f>10^6*B17/100</f>
        <v>135045.13326042893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82C24-99FC-48CC-883A-5F197B7FB0FE}">
  <sheetPr codeName="Sheet5">
    <tabColor theme="6"/>
  </sheetPr>
  <dimension ref="A1:B16"/>
  <sheetViews>
    <sheetView workbookViewId="0">
      <selection activeCell="F32" sqref="F32"/>
    </sheetView>
  </sheetViews>
  <sheetFormatPr defaultRowHeight="15" x14ac:dyDescent="0.25"/>
  <cols>
    <col min="1" max="1" width="22.5703125" bestFit="1" customWidth="1"/>
    <col min="2" max="2" width="18.28515625" bestFit="1" customWidth="1"/>
  </cols>
  <sheetData>
    <row r="1" spans="1:2" x14ac:dyDescent="0.25">
      <c r="A1" s="17" t="s">
        <v>18</v>
      </c>
      <c r="B1" s="18" t="s">
        <v>17</v>
      </c>
    </row>
    <row r="2" spans="1:2" x14ac:dyDescent="0.25">
      <c r="A2" s="43">
        <v>2</v>
      </c>
      <c r="B2" s="8">
        <v>4.09</v>
      </c>
    </row>
    <row r="3" spans="1:2" x14ac:dyDescent="0.25">
      <c r="A3" s="43">
        <v>5</v>
      </c>
      <c r="B3" s="8">
        <v>3.63</v>
      </c>
    </row>
    <row r="4" spans="1:2" x14ac:dyDescent="0.25">
      <c r="A4" s="43">
        <v>10</v>
      </c>
      <c r="B4" s="8">
        <v>2.5</v>
      </c>
    </row>
    <row r="5" spans="1:2" x14ac:dyDescent="0.25">
      <c r="A5" s="43">
        <v>50</v>
      </c>
      <c r="B5" s="8">
        <v>2.0299999999999998</v>
      </c>
    </row>
    <row r="6" spans="1:2" x14ac:dyDescent="0.25">
      <c r="A6" s="43">
        <v>100</v>
      </c>
      <c r="B6" s="8">
        <v>1.51</v>
      </c>
    </row>
    <row r="7" spans="1:2" x14ac:dyDescent="0.25">
      <c r="A7" s="43">
        <v>200</v>
      </c>
      <c r="B7" s="8">
        <v>1.68</v>
      </c>
    </row>
    <row r="8" spans="1:2" x14ac:dyDescent="0.25">
      <c r="A8" s="43">
        <v>350</v>
      </c>
      <c r="B8" s="8">
        <v>2.42</v>
      </c>
    </row>
    <row r="9" spans="1:2" x14ac:dyDescent="0.25">
      <c r="A9" s="43">
        <v>500</v>
      </c>
      <c r="B9" s="8">
        <v>2.79</v>
      </c>
    </row>
    <row r="10" spans="1:2" x14ac:dyDescent="0.25">
      <c r="A10" s="43">
        <v>750</v>
      </c>
      <c r="B10" s="8">
        <v>2.2799999999999998</v>
      </c>
    </row>
    <row r="11" spans="1:2" x14ac:dyDescent="0.25">
      <c r="A11" s="44">
        <v>1400</v>
      </c>
      <c r="B11" s="13">
        <v>1.31</v>
      </c>
    </row>
    <row r="15" spans="1:2" x14ac:dyDescent="0.25">
      <c r="A15" s="19" t="s">
        <v>26</v>
      </c>
      <c r="B15" s="7">
        <f>IF(Uträkning!C21&gt;2,-0.29*LN(Uträkning!C21)+3.712, Förnyelsekostnad!B2)</f>
        <v>3.2981362568643577</v>
      </c>
    </row>
    <row r="16" spans="1:2" x14ac:dyDescent="0.25">
      <c r="A16" s="32" t="s">
        <v>27</v>
      </c>
      <c r="B16" s="42">
        <f>10^6*B15/100</f>
        <v>32981.362568643577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12F5-40D8-41D1-97CA-79B8E0CD77D6}">
  <sheetPr codeName="Sheet6">
    <tabColor theme="2" tint="-0.249977111117893"/>
  </sheetPr>
  <dimension ref="A1:E24"/>
  <sheetViews>
    <sheetView workbookViewId="0">
      <selection activeCell="N23" sqref="N23"/>
    </sheetView>
  </sheetViews>
  <sheetFormatPr defaultRowHeight="15" x14ac:dyDescent="0.25"/>
  <cols>
    <col min="1" max="1" width="20.140625" bestFit="1" customWidth="1"/>
    <col min="2" max="2" width="17.5703125" bestFit="1" customWidth="1"/>
    <col min="3" max="3" width="36.85546875" bestFit="1" customWidth="1"/>
    <col min="4" max="4" width="15.7109375" customWidth="1"/>
    <col min="5" max="5" width="11.140625" bestFit="1" customWidth="1"/>
  </cols>
  <sheetData>
    <row r="1" spans="1:5" x14ac:dyDescent="0.25">
      <c r="A1" s="83" t="s">
        <v>28</v>
      </c>
      <c r="B1" s="57" t="s">
        <v>30</v>
      </c>
      <c r="C1" s="57" t="s">
        <v>32</v>
      </c>
      <c r="D1" s="18" t="s">
        <v>31</v>
      </c>
      <c r="E1" s="33" t="s">
        <v>83</v>
      </c>
    </row>
    <row r="2" spans="1:5" x14ac:dyDescent="0.25">
      <c r="A2" s="47">
        <v>2023</v>
      </c>
      <c r="B2" s="39">
        <v>1426.6</v>
      </c>
      <c r="C2" s="39">
        <f>B2*Uträkning!C$31/100</f>
        <v>1426.6</v>
      </c>
      <c r="D2" s="39">
        <f>C2*B$24*1000</f>
        <v>2496549.9999999995</v>
      </c>
      <c r="E2" s="51">
        <f>Uträkning!$C$32</f>
        <v>600</v>
      </c>
    </row>
    <row r="3" spans="1:5" x14ac:dyDescent="0.25">
      <c r="A3" s="48">
        <v>2024</v>
      </c>
      <c r="B3" s="38">
        <v>781.5</v>
      </c>
      <c r="C3" s="38">
        <f>B3*Uträkning!C$31/100</f>
        <v>781.5</v>
      </c>
      <c r="D3" s="38">
        <f>C3*B$24*1000</f>
        <v>1367625</v>
      </c>
      <c r="E3" s="41">
        <f>Uträkning!$C$32</f>
        <v>600</v>
      </c>
    </row>
    <row r="4" spans="1:5" x14ac:dyDescent="0.25">
      <c r="A4" s="48">
        <v>2025</v>
      </c>
      <c r="B4" s="38">
        <v>634.9</v>
      </c>
      <c r="C4" s="38">
        <f>B4*Uträkning!C$31/100</f>
        <v>634.9</v>
      </c>
      <c r="D4" s="38">
        <f t="shared" ref="D4:D21" si="0">C4*B$24*1000</f>
        <v>1111075</v>
      </c>
      <c r="E4" s="41">
        <f>Uträkning!$C$32</f>
        <v>600</v>
      </c>
    </row>
    <row r="5" spans="1:5" x14ac:dyDescent="0.25">
      <c r="A5" s="48">
        <v>2026</v>
      </c>
      <c r="B5" s="38">
        <v>586.5</v>
      </c>
      <c r="C5" s="38">
        <f>B5*Uträkning!C$31/100</f>
        <v>586.5</v>
      </c>
      <c r="D5" s="38">
        <f t="shared" si="0"/>
        <v>1026375</v>
      </c>
      <c r="E5" s="41">
        <f>Uträkning!$C$32</f>
        <v>600</v>
      </c>
    </row>
    <row r="6" spans="1:5" x14ac:dyDescent="0.25">
      <c r="A6" s="48">
        <v>2027</v>
      </c>
      <c r="B6" s="38">
        <v>580.79999999999995</v>
      </c>
      <c r="C6" s="38">
        <f>B6*Uträkning!C$31/100</f>
        <v>580.79999999999995</v>
      </c>
      <c r="D6" s="38">
        <f t="shared" si="0"/>
        <v>1016399.9999999999</v>
      </c>
      <c r="E6" s="41">
        <f>Uträkning!$C$32</f>
        <v>600</v>
      </c>
    </row>
    <row r="7" spans="1:5" x14ac:dyDescent="0.25">
      <c r="A7" s="48">
        <v>2028</v>
      </c>
      <c r="B7" s="38">
        <v>565.20000000000005</v>
      </c>
      <c r="C7" s="38">
        <f>B7*Uträkning!C$31/100</f>
        <v>565.20000000000005</v>
      </c>
      <c r="D7" s="38">
        <f t="shared" si="0"/>
        <v>989100.00000000012</v>
      </c>
      <c r="E7" s="41">
        <f>Uträkning!$C$32</f>
        <v>600</v>
      </c>
    </row>
    <row r="8" spans="1:5" x14ac:dyDescent="0.25">
      <c r="A8" s="48">
        <v>2029</v>
      </c>
      <c r="B8" s="38">
        <v>549.70000000000005</v>
      </c>
      <c r="C8" s="38">
        <f>B8*Uträkning!C$31/100</f>
        <v>549.70000000000005</v>
      </c>
      <c r="D8" s="38">
        <f t="shared" si="0"/>
        <v>961975.00000000012</v>
      </c>
      <c r="E8" s="41">
        <f>Uträkning!$C$32</f>
        <v>600</v>
      </c>
    </row>
    <row r="9" spans="1:5" x14ac:dyDescent="0.25">
      <c r="A9" s="48">
        <v>2030</v>
      </c>
      <c r="B9" s="38">
        <v>545.6</v>
      </c>
      <c r="C9" s="38">
        <f>B9*Uträkning!C$31/100</f>
        <v>545.6</v>
      </c>
      <c r="D9" s="38">
        <f t="shared" si="0"/>
        <v>954800.00000000012</v>
      </c>
      <c r="E9" s="41">
        <f>Uträkning!$C$32</f>
        <v>600</v>
      </c>
    </row>
    <row r="10" spans="1:5" x14ac:dyDescent="0.25">
      <c r="A10" s="48">
        <v>2031</v>
      </c>
      <c r="B10" s="38">
        <v>541.5</v>
      </c>
      <c r="C10" s="38">
        <f>B10*Uträkning!C$31/100</f>
        <v>541.5</v>
      </c>
      <c r="D10" s="38">
        <f t="shared" si="0"/>
        <v>947625</v>
      </c>
      <c r="E10" s="41">
        <f>Uträkning!$C$32</f>
        <v>600</v>
      </c>
    </row>
    <row r="11" spans="1:5" x14ac:dyDescent="0.25">
      <c r="A11" s="48">
        <v>2032</v>
      </c>
      <c r="B11" s="38">
        <v>537.4</v>
      </c>
      <c r="C11" s="38">
        <f>B11*Uträkning!C$31/100</f>
        <v>537.4</v>
      </c>
      <c r="D11" s="38">
        <f t="shared" si="0"/>
        <v>940449.99999999988</v>
      </c>
      <c r="E11" s="41">
        <f>Uträkning!$C$32</f>
        <v>600</v>
      </c>
    </row>
    <row r="12" spans="1:5" x14ac:dyDescent="0.25">
      <c r="A12" s="48">
        <v>2033</v>
      </c>
      <c r="B12" s="38">
        <v>533.29999999999995</v>
      </c>
      <c r="C12" s="38">
        <f>B12*Uträkning!C$31/100</f>
        <v>533.29999999999995</v>
      </c>
      <c r="D12" s="38">
        <f t="shared" si="0"/>
        <v>933274.99999999988</v>
      </c>
      <c r="E12" s="41">
        <f>Uträkning!$C$32</f>
        <v>600</v>
      </c>
    </row>
    <row r="13" spans="1:5" x14ac:dyDescent="0.25">
      <c r="A13" s="48">
        <v>2034</v>
      </c>
      <c r="B13" s="38">
        <v>529.1</v>
      </c>
      <c r="C13" s="38">
        <f>B13*Uträkning!C$31/100</f>
        <v>529.1</v>
      </c>
      <c r="D13" s="38">
        <f t="shared" si="0"/>
        <v>925925.00000000012</v>
      </c>
      <c r="E13" s="41">
        <f>Uträkning!$C$32</f>
        <v>600</v>
      </c>
    </row>
    <row r="14" spans="1:5" x14ac:dyDescent="0.25">
      <c r="A14" s="48">
        <v>2035</v>
      </c>
      <c r="B14" s="38">
        <v>525</v>
      </c>
      <c r="C14" s="38">
        <f>B14*Uträkning!C$31/100</f>
        <v>525</v>
      </c>
      <c r="D14" s="38">
        <f t="shared" si="0"/>
        <v>918750</v>
      </c>
      <c r="E14" s="41">
        <f>Uträkning!$C$32</f>
        <v>600</v>
      </c>
    </row>
    <row r="15" spans="1:5" x14ac:dyDescent="0.25">
      <c r="A15" s="48">
        <v>2036</v>
      </c>
      <c r="B15" s="38">
        <v>520.9</v>
      </c>
      <c r="C15" s="38">
        <f>B15*Uträkning!C$31/100</f>
        <v>520.9</v>
      </c>
      <c r="D15" s="38">
        <f t="shared" si="0"/>
        <v>911574.99999999988</v>
      </c>
      <c r="E15" s="41">
        <f>Uträkning!$C$32</f>
        <v>600</v>
      </c>
    </row>
    <row r="16" spans="1:5" x14ac:dyDescent="0.25">
      <c r="A16" s="48">
        <v>2037</v>
      </c>
      <c r="B16" s="38">
        <v>516.79999999999995</v>
      </c>
      <c r="C16" s="38">
        <f>B16*Uträkning!C$31/100</f>
        <v>516.79999999999995</v>
      </c>
      <c r="D16" s="38">
        <f t="shared" si="0"/>
        <v>904399.99999999988</v>
      </c>
      <c r="E16" s="41">
        <f>Uträkning!$C$32</f>
        <v>600</v>
      </c>
    </row>
    <row r="17" spans="1:5" x14ac:dyDescent="0.25">
      <c r="A17" s="48">
        <v>2038</v>
      </c>
      <c r="B17" s="38">
        <v>512.6</v>
      </c>
      <c r="C17" s="38">
        <f>B17*Uträkning!C$31/100</f>
        <v>512.6</v>
      </c>
      <c r="D17" s="38">
        <f t="shared" si="0"/>
        <v>897050.00000000012</v>
      </c>
      <c r="E17" s="41">
        <f>Uträkning!$C$32</f>
        <v>600</v>
      </c>
    </row>
    <row r="18" spans="1:5" x14ac:dyDescent="0.25">
      <c r="A18" s="48">
        <v>2039</v>
      </c>
      <c r="B18" s="38">
        <v>508.5</v>
      </c>
      <c r="C18" s="38">
        <f>B18*Uträkning!C$31/100</f>
        <v>508.5</v>
      </c>
      <c r="D18" s="38">
        <f t="shared" si="0"/>
        <v>889875</v>
      </c>
      <c r="E18" s="41">
        <f>Uträkning!$C$32</f>
        <v>600</v>
      </c>
    </row>
    <row r="19" spans="1:5" x14ac:dyDescent="0.25">
      <c r="A19" s="48">
        <v>2040</v>
      </c>
      <c r="B19" s="38">
        <v>504.4</v>
      </c>
      <c r="C19" s="38">
        <f>B19*Uträkning!C$31/100</f>
        <v>504.4</v>
      </c>
      <c r="D19" s="38">
        <f t="shared" si="0"/>
        <v>882699.99999999988</v>
      </c>
      <c r="E19" s="41">
        <f>Uträkning!$C$32</f>
        <v>600</v>
      </c>
    </row>
    <row r="20" spans="1:5" x14ac:dyDescent="0.25">
      <c r="A20" s="48">
        <v>2041</v>
      </c>
      <c r="B20" s="38">
        <v>500.3</v>
      </c>
      <c r="C20" s="38">
        <f>B20*Uträkning!C$31/100</f>
        <v>500.3</v>
      </c>
      <c r="D20" s="38">
        <f t="shared" si="0"/>
        <v>875525</v>
      </c>
      <c r="E20" s="41">
        <f>Uträkning!$C$32</f>
        <v>600</v>
      </c>
    </row>
    <row r="21" spans="1:5" x14ac:dyDescent="0.25">
      <c r="A21" s="49">
        <v>2042</v>
      </c>
      <c r="B21" s="56">
        <v>496.1</v>
      </c>
      <c r="C21" s="56">
        <f>B21*Uträkning!C$31/100</f>
        <v>496.1</v>
      </c>
      <c r="D21" s="38">
        <f t="shared" si="0"/>
        <v>868175.00000000012</v>
      </c>
      <c r="E21" s="42">
        <f>Uträkning!$C$32</f>
        <v>600</v>
      </c>
    </row>
    <row r="22" spans="1:5" x14ac:dyDescent="0.25">
      <c r="D22" s="90"/>
    </row>
    <row r="23" spans="1:5" x14ac:dyDescent="0.25">
      <c r="A23" t="s">
        <v>74</v>
      </c>
      <c r="B23" s="84">
        <f>Uträkning!C32*B24*1000*20</f>
        <v>21000000</v>
      </c>
    </row>
    <row r="24" spans="1:5" x14ac:dyDescent="0.25">
      <c r="A24" t="s">
        <v>85</v>
      </c>
      <c r="B24">
        <f>IF(Uträkning!C20=0,Uträkning!C21,Uträkning!C22)</f>
        <v>1.75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05A93-4856-47EB-B8A1-E8C256DDBCED}">
  <sheetPr codeName="Sheet7"/>
  <dimension ref="A1:G8"/>
  <sheetViews>
    <sheetView workbookViewId="0">
      <selection activeCell="F14" sqref="F14"/>
    </sheetView>
  </sheetViews>
  <sheetFormatPr defaultRowHeight="15" x14ac:dyDescent="0.25"/>
  <cols>
    <col min="1" max="1" width="35.85546875" bestFit="1" customWidth="1"/>
    <col min="2" max="2" width="17.5703125" bestFit="1" customWidth="1"/>
    <col min="6" max="6" width="35.85546875" bestFit="1" customWidth="1"/>
    <col min="7" max="7" width="13.85546875" bestFit="1" customWidth="1"/>
  </cols>
  <sheetData>
    <row r="1" spans="1:7" x14ac:dyDescent="0.25">
      <c r="A1" s="118" t="s">
        <v>55</v>
      </c>
      <c r="B1" s="119"/>
      <c r="F1" s="118" t="s">
        <v>56</v>
      </c>
      <c r="G1" s="119"/>
    </row>
    <row r="2" spans="1:7" x14ac:dyDescent="0.25">
      <c r="A2" s="10" t="s">
        <v>54</v>
      </c>
      <c r="B2" s="41">
        <f>-Uträkning!C57</f>
        <v>-825000</v>
      </c>
      <c r="F2" s="10" t="s">
        <v>34</v>
      </c>
      <c r="G2" s="41">
        <f>-Uträkning!C48</f>
        <v>-375000</v>
      </c>
    </row>
    <row r="3" spans="1:7" x14ac:dyDescent="0.25">
      <c r="A3" s="10" t="s">
        <v>22</v>
      </c>
      <c r="B3" s="41">
        <f>-Uträkning!C58</f>
        <v>-500000</v>
      </c>
      <c r="F3" s="10" t="s">
        <v>22</v>
      </c>
      <c r="G3" s="41">
        <v>0</v>
      </c>
    </row>
    <row r="4" spans="1:7" x14ac:dyDescent="0.25">
      <c r="A4" s="10" t="s">
        <v>91</v>
      </c>
      <c r="B4" s="41">
        <f>-Uträkning!C59</f>
        <v>-8000000</v>
      </c>
      <c r="F4" s="10" t="s">
        <v>91</v>
      </c>
      <c r="G4" s="41">
        <f>0</f>
        <v>0</v>
      </c>
    </row>
    <row r="5" spans="1:7" x14ac:dyDescent="0.25">
      <c r="A5" s="10" t="s">
        <v>21</v>
      </c>
      <c r="B5" s="41">
        <f>-Uträkning!C60</f>
        <v>-400000</v>
      </c>
      <c r="F5" s="10" t="s">
        <v>21</v>
      </c>
      <c r="G5" s="41">
        <v>0</v>
      </c>
    </row>
    <row r="6" spans="1:7" x14ac:dyDescent="0.25">
      <c r="A6" s="10" t="s">
        <v>19</v>
      </c>
      <c r="B6" s="41">
        <f>Uträkning!C61</f>
        <v>20819225</v>
      </c>
      <c r="F6" s="10" t="s">
        <v>19</v>
      </c>
      <c r="G6" s="41">
        <v>0</v>
      </c>
    </row>
    <row r="7" spans="1:7" ht="15.75" thickBot="1" x14ac:dyDescent="0.3">
      <c r="A7" s="20" t="s">
        <v>35</v>
      </c>
      <c r="B7" s="41">
        <f>Uträkning!C62</f>
        <v>2600000</v>
      </c>
      <c r="F7" s="20" t="s">
        <v>35</v>
      </c>
      <c r="G7" s="41">
        <f>Uträkning!C53</f>
        <v>10900000</v>
      </c>
    </row>
    <row r="8" spans="1:7" ht="15.75" thickTop="1" x14ac:dyDescent="0.25">
      <c r="A8" s="21" t="s">
        <v>49</v>
      </c>
      <c r="B8" s="42">
        <f>Uträkning!C63</f>
        <v>13694225</v>
      </c>
      <c r="F8" s="21" t="s">
        <v>49</v>
      </c>
      <c r="G8" s="42">
        <f>Uträkning!C54</f>
        <v>10525000</v>
      </c>
    </row>
  </sheetData>
  <mergeCells count="2">
    <mergeCell ref="A1:B1"/>
    <mergeCell ref="F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1</vt:i4>
      </vt:variant>
    </vt:vector>
  </HeadingPairs>
  <TitlesOfParts>
    <vt:vector size="8" baseType="lpstr">
      <vt:lpstr>Uträkning</vt:lpstr>
      <vt:lpstr>Schablonuträkningar</vt:lpstr>
      <vt:lpstr>Miljöåtgärder kostnader</vt:lpstr>
      <vt:lpstr>Drift och underhåll</vt:lpstr>
      <vt:lpstr>Förnyelsekostnad</vt:lpstr>
      <vt:lpstr>Produktionsintäkter</vt:lpstr>
      <vt:lpstr>Figurdata</vt:lpstr>
      <vt:lpstr>Uträkning!Utskriftsområde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 Burman</dc:creator>
  <cp:lastModifiedBy>Bergdahl Daniel</cp:lastModifiedBy>
  <cp:lastPrinted>2024-04-23T08:49:39Z</cp:lastPrinted>
  <dcterms:created xsi:type="dcterms:W3CDTF">2024-01-24T08:19:10Z</dcterms:created>
  <dcterms:modified xsi:type="dcterms:W3CDTF">2024-09-05T06:34:37Z</dcterms:modified>
</cp:coreProperties>
</file>